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 tabRatio="795"/>
  </bookViews>
  <sheets>
    <sheet name="RESUMO" sheetId="1" r:id="rId1"/>
    <sheet name="PLANILHA_UNIFICADA" sheetId="2" r:id="rId2"/>
    <sheet name="MEMORIA_DE_CALCULO" sheetId="3" r:id="rId3"/>
    <sheet name="COMPOSIÇÕES_UNITÁRIAS" sheetId="4" r:id="rId4"/>
    <sheet name="CRONOGRAMA" sheetId="6" r:id="rId5"/>
    <sheet name="CURVA_ABC" sheetId="8" r:id="rId6"/>
  </sheets>
  <definedNames>
    <definedName name="_xlnm.Print_Area" localSheetId="3">COMPOSIÇÕES_UNITÁRIAS!$A$1:$H$74</definedName>
    <definedName name="_xlnm.Print_Area" localSheetId="5">CURVA_ABC!$A$1:$H$62</definedName>
    <definedName name="_xlnm.Print_Area" localSheetId="2">MEMORIA_DE_CALCULO!$A$1:$F$53</definedName>
    <definedName name="_xlnm.Print_Area" localSheetId="1">PLANILHA_UNIFICADA!$A$1:$I$65</definedName>
    <definedName name="_xlnm.Print_Area" localSheetId="0">RESUMO!$A$1:$D$22</definedName>
    <definedName name="_xlnm.Print_Titles" localSheetId="4">CRONOGRAMA!$A:$B,CRONOGRAMA!$3:$3</definedName>
  </definedNames>
  <calcPr calcId="145621"/>
</workbook>
</file>

<file path=xl/calcChain.xml><?xml version="1.0" encoding="utf-8"?>
<calcChain xmlns="http://schemas.openxmlformats.org/spreadsheetml/2006/main">
  <c r="F14" i="6" l="1"/>
  <c r="A49" i="2"/>
  <c r="A29" i="8" s="1"/>
  <c r="A9" i="2"/>
  <c r="A13" i="1"/>
  <c r="A12" i="1"/>
  <c r="B13" i="1"/>
  <c r="B12" i="1"/>
  <c r="B11" i="1"/>
  <c r="B10" i="1"/>
  <c r="B49" i="2"/>
  <c r="B29" i="8" s="1"/>
  <c r="C49" i="2"/>
  <c r="C29" i="8" s="1"/>
  <c r="D49" i="2"/>
  <c r="D29" i="8" s="1"/>
  <c r="E49" i="2"/>
  <c r="H60" i="4" l="1"/>
  <c r="B48" i="2"/>
  <c r="B26" i="8" s="1"/>
  <c r="C48" i="2"/>
  <c r="C26" i="8" s="1"/>
  <c r="D48" i="2"/>
  <c r="D26" i="8" s="1"/>
  <c r="E48" i="2"/>
  <c r="A48" i="2"/>
  <c r="A26" i="8" s="1"/>
  <c r="A44" i="2"/>
  <c r="A43" i="8" s="1"/>
  <c r="B44" i="2"/>
  <c r="B43" i="8" s="1"/>
  <c r="C44" i="2"/>
  <c r="C43" i="8" s="1"/>
  <c r="D44" i="2"/>
  <c r="D43" i="8" s="1"/>
  <c r="E44" i="2"/>
  <c r="A45" i="2"/>
  <c r="A52" i="8" s="1"/>
  <c r="B45" i="2"/>
  <c r="B52" i="8" s="1"/>
  <c r="C45" i="2"/>
  <c r="C52" i="8" s="1"/>
  <c r="D45" i="2"/>
  <c r="D52" i="8" s="1"/>
  <c r="A33" i="2"/>
  <c r="A31" i="8" s="1"/>
  <c r="B33" i="2"/>
  <c r="B31" i="8" s="1"/>
  <c r="C33" i="2"/>
  <c r="C31" i="8" s="1"/>
  <c r="D33" i="2"/>
  <c r="D31" i="8" s="1"/>
  <c r="E33" i="2"/>
  <c r="A34" i="2"/>
  <c r="A40" i="8" s="1"/>
  <c r="B34" i="2"/>
  <c r="B40" i="8" s="1"/>
  <c r="C34" i="2"/>
  <c r="C40" i="8" s="1"/>
  <c r="D34" i="2"/>
  <c r="D40" i="8" s="1"/>
  <c r="E34" i="2"/>
  <c r="A35" i="2"/>
  <c r="A49" i="8" s="1"/>
  <c r="B35" i="2"/>
  <c r="B49" i="8" s="1"/>
  <c r="C35" i="2"/>
  <c r="C49" i="8" s="1"/>
  <c r="D35" i="2"/>
  <c r="D49" i="8" s="1"/>
  <c r="E35" i="2"/>
  <c r="A36" i="2"/>
  <c r="A55" i="8" s="1"/>
  <c r="B36" i="2"/>
  <c r="B55" i="8" s="1"/>
  <c r="C36" i="2"/>
  <c r="C55" i="8" s="1"/>
  <c r="D36" i="2"/>
  <c r="D55" i="8" s="1"/>
  <c r="E36" i="2"/>
  <c r="A37" i="2"/>
  <c r="A51" i="8" s="1"/>
  <c r="B37" i="2"/>
  <c r="B51" i="8" s="1"/>
  <c r="C37" i="2"/>
  <c r="C51" i="8" s="1"/>
  <c r="D37" i="2"/>
  <c r="D51" i="8" s="1"/>
  <c r="E37" i="2"/>
  <c r="A38" i="2"/>
  <c r="A42" i="8" s="1"/>
  <c r="B38" i="2"/>
  <c r="B42" i="8" s="1"/>
  <c r="C38" i="2"/>
  <c r="C42" i="8" s="1"/>
  <c r="D38" i="2"/>
  <c r="D42" i="8" s="1"/>
  <c r="E38" i="2"/>
  <c r="A39" i="2"/>
  <c r="A37" i="8" s="1"/>
  <c r="B39" i="2"/>
  <c r="B37" i="8" s="1"/>
  <c r="C39" i="2"/>
  <c r="C37" i="8" s="1"/>
  <c r="D39" i="2"/>
  <c r="D37" i="8" s="1"/>
  <c r="E39" i="2"/>
  <c r="A40" i="2"/>
  <c r="A54" i="8" s="1"/>
  <c r="B40" i="2"/>
  <c r="B54" i="8" s="1"/>
  <c r="C40" i="2"/>
  <c r="C54" i="8" s="1"/>
  <c r="D40" i="2"/>
  <c r="D54" i="8" s="1"/>
  <c r="E40" i="2"/>
  <c r="A41" i="2"/>
  <c r="A53" i="8" s="1"/>
  <c r="B41" i="2"/>
  <c r="B53" i="8" s="1"/>
  <c r="C41" i="2"/>
  <c r="C53" i="8" s="1"/>
  <c r="D41" i="2"/>
  <c r="D53" i="8" s="1"/>
  <c r="E41" i="2"/>
  <c r="A42" i="2"/>
  <c r="A50" i="8" s="1"/>
  <c r="B42" i="2"/>
  <c r="B50" i="8" s="1"/>
  <c r="C42" i="2"/>
  <c r="C50" i="8" s="1"/>
  <c r="D42" i="2"/>
  <c r="D50" i="8" s="1"/>
  <c r="E42" i="2"/>
  <c r="A43" i="2"/>
  <c r="A38" i="8" s="1"/>
  <c r="B43" i="2"/>
  <c r="B38" i="8" s="1"/>
  <c r="C43" i="2"/>
  <c r="C38" i="8" s="1"/>
  <c r="D43" i="2"/>
  <c r="D38" i="8" s="1"/>
  <c r="E43" i="2"/>
  <c r="B19" i="2"/>
  <c r="B47" i="8" s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13" i="4"/>
  <c r="F18" i="4"/>
  <c r="H61" i="4"/>
  <c r="H11" i="4"/>
  <c r="H12" i="4"/>
  <c r="H10" i="4"/>
  <c r="E39" i="3"/>
  <c r="E45" i="2" s="1"/>
  <c r="A24" i="2"/>
  <c r="A24" i="8" s="1"/>
  <c r="B24" i="2"/>
  <c r="B24" i="8" s="1"/>
  <c r="C24" i="2"/>
  <c r="C24" i="8" s="1"/>
  <c r="D24" i="2"/>
  <c r="D24" i="8" s="1"/>
  <c r="E24" i="2"/>
  <c r="A25" i="2"/>
  <c r="A28" i="8" s="1"/>
  <c r="B25" i="2"/>
  <c r="B28" i="8" s="1"/>
  <c r="C25" i="2"/>
  <c r="C28" i="8" s="1"/>
  <c r="D25" i="2"/>
  <c r="D28" i="8" s="1"/>
  <c r="E25" i="2"/>
  <c r="A26" i="2"/>
  <c r="A30" i="8" s="1"/>
  <c r="B26" i="2"/>
  <c r="B30" i="8" s="1"/>
  <c r="C26" i="2"/>
  <c r="C30" i="8" s="1"/>
  <c r="D26" i="2"/>
  <c r="D30" i="8" s="1"/>
  <c r="E26" i="2"/>
  <c r="A27" i="2"/>
  <c r="A48" i="8" s="1"/>
  <c r="B27" i="2"/>
  <c r="B48" i="8" s="1"/>
  <c r="C27" i="2"/>
  <c r="C48" i="8" s="1"/>
  <c r="D27" i="2"/>
  <c r="D48" i="8" s="1"/>
  <c r="E27" i="2"/>
  <c r="A28" i="2"/>
  <c r="A34" i="8" s="1"/>
  <c r="B28" i="2"/>
  <c r="B34" i="8" s="1"/>
  <c r="C28" i="2"/>
  <c r="C34" i="8" s="1"/>
  <c r="D28" i="2"/>
  <c r="D34" i="8" s="1"/>
  <c r="E28" i="2"/>
  <c r="A29" i="2"/>
  <c r="A32" i="8" s="1"/>
  <c r="B29" i="2"/>
  <c r="B32" i="8" s="1"/>
  <c r="C29" i="2"/>
  <c r="C32" i="8" s="1"/>
  <c r="D29" i="2"/>
  <c r="D32" i="8" s="1"/>
  <c r="E29" i="2"/>
  <c r="A30" i="2"/>
  <c r="A33" i="8" s="1"/>
  <c r="B30" i="2"/>
  <c r="B33" i="8" s="1"/>
  <c r="C30" i="2"/>
  <c r="C33" i="8" s="1"/>
  <c r="D30" i="2"/>
  <c r="D33" i="8" s="1"/>
  <c r="E30" i="2"/>
  <c r="A31" i="2"/>
  <c r="A39" i="8" s="1"/>
  <c r="B31" i="2"/>
  <c r="B39" i="8" s="1"/>
  <c r="C31" i="2"/>
  <c r="C39" i="8" s="1"/>
  <c r="D31" i="2"/>
  <c r="D39" i="8" s="1"/>
  <c r="E31" i="2"/>
  <c r="A32" i="2"/>
  <c r="A46" i="8" s="1"/>
  <c r="B32" i="2"/>
  <c r="B46" i="8" s="1"/>
  <c r="C32" i="2"/>
  <c r="C46" i="8" s="1"/>
  <c r="D32" i="2"/>
  <c r="D46" i="8" s="1"/>
  <c r="E32" i="2"/>
  <c r="A18" i="2"/>
  <c r="A27" i="8" s="1"/>
  <c r="B18" i="2"/>
  <c r="B27" i="8" s="1"/>
  <c r="C18" i="2"/>
  <c r="C27" i="8" s="1"/>
  <c r="D18" i="2"/>
  <c r="D27" i="8" s="1"/>
  <c r="E18" i="2"/>
  <c r="A19" i="2"/>
  <c r="A47" i="8" s="1"/>
  <c r="C19" i="2"/>
  <c r="C47" i="8" s="1"/>
  <c r="D19" i="2"/>
  <c r="D47" i="8" s="1"/>
  <c r="E19" i="2"/>
  <c r="A20" i="2"/>
  <c r="A44" i="8" s="1"/>
  <c r="B20" i="2"/>
  <c r="B44" i="8" s="1"/>
  <c r="C20" i="2"/>
  <c r="C44" i="8" s="1"/>
  <c r="D20" i="2"/>
  <c r="D44" i="8" s="1"/>
  <c r="E20" i="2"/>
  <c r="H65" i="4" l="1"/>
  <c r="B12" i="6"/>
  <c r="A12" i="6"/>
  <c r="B10" i="6"/>
  <c r="A10" i="6"/>
  <c r="B8" i="6"/>
  <c r="A8" i="6"/>
  <c r="B6" i="6"/>
  <c r="A6" i="6"/>
  <c r="H67" i="4"/>
  <c r="H66" i="4"/>
  <c r="H26" i="4"/>
  <c r="H25" i="4"/>
  <c r="H20" i="4"/>
  <c r="H19" i="4"/>
  <c r="H18" i="4"/>
  <c r="A6" i="3"/>
  <c r="A6" i="4" s="1"/>
  <c r="E52" i="2"/>
  <c r="D52" i="2"/>
  <c r="D35" i="8" s="1"/>
  <c r="C52" i="2"/>
  <c r="C35" i="8" s="1"/>
  <c r="B52" i="2"/>
  <c r="B35" i="8" s="1"/>
  <c r="A52" i="2"/>
  <c r="A35" i="8" s="1"/>
  <c r="D23" i="2"/>
  <c r="D25" i="8" s="1"/>
  <c r="C23" i="2"/>
  <c r="C25" i="8" s="1"/>
  <c r="B23" i="2"/>
  <c r="B25" i="8" s="1"/>
  <c r="A23" i="2"/>
  <c r="A25" i="8" s="1"/>
  <c r="N21" i="2"/>
  <c r="E17" i="2"/>
  <c r="D17" i="2"/>
  <c r="D45" i="8" s="1"/>
  <c r="C17" i="2"/>
  <c r="C45" i="8" s="1"/>
  <c r="B17" i="2"/>
  <c r="B45" i="8" s="1"/>
  <c r="A17" i="2"/>
  <c r="A45" i="8" s="1"/>
  <c r="E16" i="2"/>
  <c r="D16" i="2"/>
  <c r="D41" i="8" s="1"/>
  <c r="C16" i="2"/>
  <c r="C41" i="8" s="1"/>
  <c r="B16" i="2"/>
  <c r="B41" i="8" s="1"/>
  <c r="A16" i="2"/>
  <c r="A41" i="8" s="1"/>
  <c r="E15" i="2"/>
  <c r="D15" i="2"/>
  <c r="D36" i="8" s="1"/>
  <c r="C15" i="2"/>
  <c r="C36" i="8" s="1"/>
  <c r="B15" i="2"/>
  <c r="B36" i="8" s="1"/>
  <c r="A15" i="2"/>
  <c r="A36" i="8" s="1"/>
  <c r="A11" i="1"/>
  <c r="A10" i="1"/>
  <c r="F48" i="2" l="1"/>
  <c r="F49" i="2"/>
  <c r="F16" i="2"/>
  <c r="H68" i="4"/>
  <c r="H63" i="4" s="1"/>
  <c r="F52" i="2" s="1"/>
  <c r="F17" i="2"/>
  <c r="F15" i="2"/>
  <c r="F23" i="2"/>
  <c r="F45" i="2"/>
  <c r="F35" i="2"/>
  <c r="F37" i="2"/>
  <c r="F40" i="2"/>
  <c r="F42" i="2"/>
  <c r="F34" i="2"/>
  <c r="F44" i="2"/>
  <c r="F33" i="2"/>
  <c r="F36" i="2"/>
  <c r="F39" i="2"/>
  <c r="F41" i="2"/>
  <c r="F38" i="2"/>
  <c r="F43" i="2"/>
  <c r="F31" i="2"/>
  <c r="F29" i="2"/>
  <c r="F24" i="2"/>
  <c r="F25" i="2"/>
  <c r="F30" i="2"/>
  <c r="F26" i="2"/>
  <c r="F27" i="2"/>
  <c r="F32" i="2"/>
  <c r="F28" i="2"/>
  <c r="F18" i="2"/>
  <c r="E23" i="2"/>
  <c r="H27" i="4"/>
  <c r="H23" i="4" s="1"/>
  <c r="F20" i="2" s="1"/>
  <c r="H21" i="4"/>
  <c r="H16" i="4" s="1"/>
  <c r="F19" i="2" s="1"/>
  <c r="G48" i="2" l="1"/>
  <c r="I48" i="2" s="1"/>
  <c r="H48" i="2"/>
  <c r="H49" i="2"/>
  <c r="G49" i="2"/>
  <c r="I49" i="2" s="1"/>
  <c r="G52" i="2"/>
  <c r="I52" i="2" s="1"/>
  <c r="E35" i="8" s="1"/>
  <c r="H52" i="2"/>
  <c r="H20" i="2"/>
  <c r="G20" i="2"/>
  <c r="I20" i="2" s="1"/>
  <c r="H25" i="2"/>
  <c r="G25" i="2"/>
  <c r="I25" i="2" s="1"/>
  <c r="G18" i="2"/>
  <c r="I18" i="2" s="1"/>
  <c r="H18" i="2"/>
  <c r="H26" i="2"/>
  <c r="G26" i="2"/>
  <c r="I26" i="2" s="1"/>
  <c r="H41" i="2"/>
  <c r="G41" i="2"/>
  <c r="I41" i="2" s="1"/>
  <c r="G44" i="2"/>
  <c r="I44" i="2" s="1"/>
  <c r="H44" i="2"/>
  <c r="H19" i="2"/>
  <c r="G19" i="2"/>
  <c r="I19" i="2" s="1"/>
  <c r="G28" i="2"/>
  <c r="I28" i="2" s="1"/>
  <c r="H28" i="2"/>
  <c r="H30" i="2"/>
  <c r="G30" i="2"/>
  <c r="I30" i="2" s="1"/>
  <c r="G31" i="2"/>
  <c r="I31" i="2" s="1"/>
  <c r="H31" i="2"/>
  <c r="G39" i="2"/>
  <c r="I39" i="2" s="1"/>
  <c r="H39" i="2"/>
  <c r="H34" i="2"/>
  <c r="G34" i="2"/>
  <c r="I34" i="2" s="1"/>
  <c r="G35" i="2"/>
  <c r="I35" i="2" s="1"/>
  <c r="H35" i="2"/>
  <c r="H15" i="2"/>
  <c r="G15" i="2"/>
  <c r="I15" i="2" s="1"/>
  <c r="E36" i="8" s="1"/>
  <c r="G32" i="2"/>
  <c r="I32" i="2" s="1"/>
  <c r="H32" i="2"/>
  <c r="G43" i="2"/>
  <c r="I43" i="2" s="1"/>
  <c r="H43" i="2"/>
  <c r="G36" i="2"/>
  <c r="I36" i="2" s="1"/>
  <c r="H36" i="2"/>
  <c r="H42" i="2"/>
  <c r="G42" i="2"/>
  <c r="I42" i="2" s="1"/>
  <c r="G45" i="2"/>
  <c r="I45" i="2" s="1"/>
  <c r="H45" i="2"/>
  <c r="G17" i="2"/>
  <c r="I17" i="2" s="1"/>
  <c r="H17" i="2"/>
  <c r="G27" i="2"/>
  <c r="I27" i="2" s="1"/>
  <c r="H27" i="2"/>
  <c r="G24" i="2"/>
  <c r="I24" i="2" s="1"/>
  <c r="H24" i="2"/>
  <c r="H38" i="2"/>
  <c r="G38" i="2"/>
  <c r="I38" i="2" s="1"/>
  <c r="G33" i="2"/>
  <c r="I33" i="2" s="1"/>
  <c r="H33" i="2"/>
  <c r="G40" i="2"/>
  <c r="I40" i="2" s="1"/>
  <c r="H40" i="2"/>
  <c r="G23" i="2"/>
  <c r="I23" i="2" s="1"/>
  <c r="H23" i="2"/>
  <c r="H29" i="2"/>
  <c r="G29" i="2"/>
  <c r="I29" i="2" s="1"/>
  <c r="G37" i="2"/>
  <c r="I37" i="2" s="1"/>
  <c r="H37" i="2"/>
  <c r="H16" i="2"/>
  <c r="G16" i="2"/>
  <c r="I16" i="2" s="1"/>
  <c r="E51" i="8" l="1"/>
  <c r="L37" i="2"/>
  <c r="N37" i="2" s="1"/>
  <c r="E25" i="8"/>
  <c r="L23" i="2"/>
  <c r="E31" i="8"/>
  <c r="L33" i="2"/>
  <c r="N33" i="2" s="1"/>
  <c r="L24" i="2"/>
  <c r="N24" i="2" s="1"/>
  <c r="E24" i="8"/>
  <c r="K17" i="2"/>
  <c r="E45" i="8"/>
  <c r="E38" i="8"/>
  <c r="L43" i="2"/>
  <c r="N43" i="2" s="1"/>
  <c r="E39" i="8"/>
  <c r="L31" i="2"/>
  <c r="N31" i="2" s="1"/>
  <c r="E34" i="8"/>
  <c r="L28" i="2"/>
  <c r="N28" i="2" s="1"/>
  <c r="L44" i="2"/>
  <c r="N44" i="2" s="1"/>
  <c r="E43" i="8"/>
  <c r="E26" i="8"/>
  <c r="M48" i="2"/>
  <c r="K16" i="2"/>
  <c r="E41" i="8"/>
  <c r="E32" i="8"/>
  <c r="L29" i="2"/>
  <c r="N29" i="2" s="1"/>
  <c r="E42" i="8"/>
  <c r="L38" i="2"/>
  <c r="N38" i="2" s="1"/>
  <c r="E33" i="8"/>
  <c r="L30" i="2"/>
  <c r="N30" i="2" s="1"/>
  <c r="M19" i="2"/>
  <c r="E47" i="8"/>
  <c r="L41" i="2"/>
  <c r="N41" i="2" s="1"/>
  <c r="E53" i="8"/>
  <c r="M20" i="2"/>
  <c r="E44" i="8"/>
  <c r="M49" i="2"/>
  <c r="K49" i="2"/>
  <c r="E29" i="8"/>
  <c r="L40" i="2"/>
  <c r="N40" i="2" s="1"/>
  <c r="E54" i="8"/>
  <c r="E48" i="8"/>
  <c r="L27" i="2"/>
  <c r="N27" i="2" s="1"/>
  <c r="L45" i="2"/>
  <c r="N45" i="2" s="1"/>
  <c r="E52" i="8"/>
  <c r="L36" i="2"/>
  <c r="N36" i="2" s="1"/>
  <c r="E55" i="8"/>
  <c r="L32" i="2"/>
  <c r="N32" i="2" s="1"/>
  <c r="E46" i="8"/>
  <c r="E49" i="8"/>
  <c r="L35" i="2"/>
  <c r="N35" i="2" s="1"/>
  <c r="E37" i="8"/>
  <c r="L39" i="2"/>
  <c r="N39" i="2" s="1"/>
  <c r="K18" i="2"/>
  <c r="E27" i="8"/>
  <c r="L42" i="2"/>
  <c r="N42" i="2" s="1"/>
  <c r="E50" i="8"/>
  <c r="E40" i="8"/>
  <c r="L34" i="2"/>
  <c r="N34" i="2" s="1"/>
  <c r="E30" i="8"/>
  <c r="L26" i="2"/>
  <c r="N26" i="2" s="1"/>
  <c r="L25" i="2"/>
  <c r="N25" i="2" s="1"/>
  <c r="E28" i="8"/>
  <c r="H47" i="2"/>
  <c r="I47" i="2"/>
  <c r="L47" i="2" s="1"/>
  <c r="I14" i="2"/>
  <c r="K15" i="2"/>
  <c r="H14" i="2"/>
  <c r="H22" i="2"/>
  <c r="H51" i="2"/>
  <c r="K47" i="2" l="1"/>
  <c r="M47" i="2"/>
  <c r="K3" i="8"/>
  <c r="F27" i="8" s="1"/>
  <c r="D12" i="1"/>
  <c r="K14" i="2"/>
  <c r="L14" i="2"/>
  <c r="M14" i="2"/>
  <c r="H54" i="2"/>
  <c r="F24" i="8" l="1"/>
  <c r="G24" i="8" s="1"/>
  <c r="H24" i="8" s="1"/>
  <c r="F36" i="8"/>
  <c r="F47" i="8" l="1"/>
  <c r="F31" i="8"/>
  <c r="F28" i="8"/>
  <c r="F29" i="8"/>
  <c r="F25" i="8"/>
  <c r="G25" i="8" s="1"/>
  <c r="F30" i="8"/>
  <c r="F26" i="8"/>
  <c r="F40" i="8"/>
  <c r="F35" i="8"/>
  <c r="F37" i="8"/>
  <c r="F45" i="8"/>
  <c r="F34" i="8"/>
  <c r="F55" i="8"/>
  <c r="F44" i="8"/>
  <c r="F43" i="8"/>
  <c r="F53" i="8"/>
  <c r="F33" i="8"/>
  <c r="F48" i="8"/>
  <c r="F46" i="8"/>
  <c r="F52" i="8"/>
  <c r="F42" i="8"/>
  <c r="F51" i="8"/>
  <c r="F39" i="8"/>
  <c r="F38" i="8"/>
  <c r="F50" i="8"/>
  <c r="F54" i="8"/>
  <c r="F32" i="8"/>
  <c r="F41" i="8"/>
  <c r="F49" i="8"/>
  <c r="H25" i="8" l="1"/>
  <c r="G26" i="8"/>
  <c r="I22" i="2"/>
  <c r="N19" i="2"/>
  <c r="I51" i="2"/>
  <c r="N20" i="2"/>
  <c r="N18" i="2"/>
  <c r="K22" i="2" l="1"/>
  <c r="K56" i="2" s="1"/>
  <c r="M22" i="2"/>
  <c r="M56" i="2" s="1"/>
  <c r="L22" i="2"/>
  <c r="L56" i="2" s="1"/>
  <c r="G27" i="8"/>
  <c r="H26" i="8"/>
  <c r="I54" i="2"/>
  <c r="D13" i="1"/>
  <c r="N23" i="2"/>
  <c r="N16" i="2"/>
  <c r="G12" i="6"/>
  <c r="G8" i="6"/>
  <c r="D11" i="1"/>
  <c r="N15" i="2"/>
  <c r="N17" i="2"/>
  <c r="G28" i="8" l="1"/>
  <c r="H27" i="8"/>
  <c r="E8" i="6"/>
  <c r="E9" i="6" s="1"/>
  <c r="D8" i="6"/>
  <c r="D9" i="6" s="1"/>
  <c r="K4" i="8"/>
  <c r="K5" i="8" s="1"/>
  <c r="G10" i="6"/>
  <c r="G6" i="6"/>
  <c r="D10" i="1"/>
  <c r="D14" i="1" s="1"/>
  <c r="G29" i="8" l="1"/>
  <c r="H28" i="8"/>
  <c r="C8" i="6"/>
  <c r="C9" i="6" s="1"/>
  <c r="N22" i="2"/>
  <c r="D6" i="6"/>
  <c r="D7" i="6" s="1"/>
  <c r="N48" i="2"/>
  <c r="G14" i="6"/>
  <c r="G30" i="8" l="1"/>
  <c r="H29" i="8"/>
  <c r="E6" i="6"/>
  <c r="E7" i="6" s="1"/>
  <c r="G31" i="8" l="1"/>
  <c r="H30" i="8"/>
  <c r="C6" i="6"/>
  <c r="C7" i="6" s="1"/>
  <c r="N14" i="2"/>
  <c r="G32" i="8" l="1"/>
  <c r="H31" i="8"/>
  <c r="D10" i="6"/>
  <c r="D11" i="6" s="1"/>
  <c r="C10" i="6"/>
  <c r="C11" i="6" s="1"/>
  <c r="E10" i="6"/>
  <c r="E11" i="6" s="1"/>
  <c r="N47" i="2"/>
  <c r="N56" i="2" s="1"/>
  <c r="K57" i="2" s="1"/>
  <c r="G33" i="8" l="1"/>
  <c r="H32" i="8"/>
  <c r="L57" i="2"/>
  <c r="L52" i="2" s="1"/>
  <c r="L51" i="2" s="1"/>
  <c r="K52" i="2"/>
  <c r="K51" i="2" s="1"/>
  <c r="K54" i="2" s="1"/>
  <c r="M57" i="2"/>
  <c r="M52" i="2" s="1"/>
  <c r="M51" i="2" s="1"/>
  <c r="M54" i="2" s="1"/>
  <c r="G34" i="8" l="1"/>
  <c r="H33" i="8"/>
  <c r="D12" i="6"/>
  <c r="D13" i="6" s="1"/>
  <c r="D14" i="6" s="1"/>
  <c r="D15" i="6" s="1"/>
  <c r="L54" i="2"/>
  <c r="E12" i="6"/>
  <c r="E13" i="6" s="1"/>
  <c r="E14" i="6" s="1"/>
  <c r="E15" i="6" s="1"/>
  <c r="N52" i="2"/>
  <c r="G35" i="8" l="1"/>
  <c r="H34" i="8"/>
  <c r="N51" i="2"/>
  <c r="C12" i="6"/>
  <c r="C13" i="6" s="1"/>
  <c r="C14" i="6" s="1"/>
  <c r="N54" i="2"/>
  <c r="G36" i="8" l="1"/>
  <c r="H35" i="8"/>
  <c r="C15" i="6"/>
  <c r="C17" i="6" s="1"/>
  <c r="D17" i="6" s="1"/>
  <c r="E17" i="6" s="1"/>
  <c r="C16" i="6"/>
  <c r="D16" i="6" s="1"/>
  <c r="E16" i="6" s="1"/>
  <c r="G37" i="8" l="1"/>
  <c r="H36" i="8"/>
  <c r="H37" i="8" l="1"/>
  <c r="G38" i="8"/>
  <c r="G39" i="8" l="1"/>
  <c r="H38" i="8"/>
  <c r="G40" i="8" l="1"/>
  <c r="H39" i="8"/>
  <c r="G41" i="8" l="1"/>
  <c r="H40" i="8"/>
  <c r="G42" i="8" l="1"/>
  <c r="H41" i="8"/>
  <c r="G43" i="8" l="1"/>
  <c r="H42" i="8"/>
  <c r="G44" i="8" l="1"/>
  <c r="H43" i="8"/>
  <c r="G45" i="8" l="1"/>
  <c r="H44" i="8"/>
  <c r="G46" i="8" l="1"/>
  <c r="H45" i="8"/>
  <c r="G47" i="8" l="1"/>
  <c r="H46" i="8"/>
  <c r="G48" i="8" l="1"/>
  <c r="H47" i="8"/>
  <c r="G49" i="8" l="1"/>
  <c r="H48" i="8"/>
  <c r="G50" i="8" l="1"/>
  <c r="H49" i="8"/>
  <c r="G51" i="8" l="1"/>
  <c r="H50" i="8"/>
  <c r="G52" i="8" l="1"/>
  <c r="H51" i="8"/>
  <c r="G53" i="8" l="1"/>
  <c r="H52" i="8"/>
  <c r="G54" i="8" l="1"/>
  <c r="H53" i="8"/>
  <c r="G55" i="8" l="1"/>
  <c r="H55" i="8" s="1"/>
  <c r="H54" i="8"/>
</calcChain>
</file>

<file path=xl/sharedStrings.xml><?xml version="1.0" encoding="utf-8"?>
<sst xmlns="http://schemas.openxmlformats.org/spreadsheetml/2006/main" count="449" uniqueCount="206">
  <si>
    <t>RESUMO</t>
  </si>
  <si>
    <t>TOTAL GERAL DA OBRA</t>
  </si>
  <si>
    <t>Jaqueline Cabral Lopes Carvalho</t>
  </si>
  <si>
    <t>Engenheira Civil – IFAL</t>
  </si>
  <si>
    <t>CREA 20629850-1</t>
  </si>
  <si>
    <t>CPF: 042.896.824-48</t>
  </si>
  <si>
    <t>ITEM</t>
  </si>
  <si>
    <t>CÓDIGO</t>
  </si>
  <si>
    <t>DESCRIÇÃO</t>
  </si>
  <si>
    <t>UNID.</t>
  </si>
  <si>
    <t>QUANT.</t>
  </si>
  <si>
    <t>PREÇO</t>
  </si>
  <si>
    <t>TOTAL COM BDI</t>
  </si>
  <si>
    <t>ETAPA 1</t>
  </si>
  <si>
    <t>ETAPA 2</t>
  </si>
  <si>
    <t>ETAPA 3</t>
  </si>
  <si>
    <t>TOTAL</t>
  </si>
  <si>
    <t>TOTAL SEM BDI</t>
  </si>
  <si>
    <t>01.</t>
  </si>
  <si>
    <t>SERVIÇOS PRELIMINARES</t>
  </si>
  <si>
    <t>1.1</t>
  </si>
  <si>
    <t>1.2</t>
  </si>
  <si>
    <t>1.3</t>
  </si>
  <si>
    <t>02.</t>
  </si>
  <si>
    <t>03.</t>
  </si>
  <si>
    <t>04.</t>
  </si>
  <si>
    <t>SERVIÇOS COMPLEMENTARES</t>
  </si>
  <si>
    <t>GERENCIAMENTO DE OBRAS/FISCALIZAÇÃO</t>
  </si>
  <si>
    <t>Final da planilha</t>
  </si>
  <si>
    <t>Administração Local</t>
  </si>
  <si>
    <t>MEMÓRIA DE CÁLCULO</t>
  </si>
  <si>
    <t>1.</t>
  </si>
  <si>
    <t>SERVIÇOS PRELIMINARES/TÉCNICOS</t>
  </si>
  <si>
    <t>m²</t>
  </si>
  <si>
    <t>mês</t>
  </si>
  <si>
    <t>und</t>
  </si>
  <si>
    <t>Mínimo necessário</t>
  </si>
  <si>
    <t>m³</t>
  </si>
  <si>
    <t>MANUAL DE USO E MANUTENÇÃO DO PRODUTO DO SERVIÇO</t>
  </si>
  <si>
    <t>2.</t>
  </si>
  <si>
    <t>2.1</t>
  </si>
  <si>
    <t>2.2</t>
  </si>
  <si>
    <t>2.3</t>
  </si>
  <si>
    <t>3.</t>
  </si>
  <si>
    <t>3.1</t>
  </si>
  <si>
    <t>3.2</t>
  </si>
  <si>
    <t>4.</t>
  </si>
  <si>
    <t>4.1</t>
  </si>
  <si>
    <t>UND</t>
  </si>
  <si>
    <t>M</t>
  </si>
  <si>
    <t>COMPOSIÇÕES DE PREÇO UNITÁRIO</t>
  </si>
  <si>
    <t>TIPO</t>
  </si>
  <si>
    <t>UNIDADE</t>
  </si>
  <si>
    <t>COEFICIENTE</t>
  </si>
  <si>
    <t>COMPOSICAO</t>
  </si>
  <si>
    <t>H</t>
  </si>
  <si>
    <t>INSUMO</t>
  </si>
  <si>
    <t>KG</t>
  </si>
  <si>
    <t>PREÇO UNITÁRIO TOTAL (und)</t>
  </si>
  <si>
    <t>M³</t>
  </si>
  <si>
    <t>TAXA</t>
  </si>
  <si>
    <t>CREA/AL</t>
  </si>
  <si>
    <t>EMISSÃO DE ANOTAÇÃO DE RESPONSABILIDADE TÉCNICA (ART)</t>
  </si>
  <si>
    <t>h</t>
  </si>
  <si>
    <t>PROJETO AS BUIT</t>
  </si>
  <si>
    <t>7325/ORSE</t>
  </si>
  <si>
    <t>As buit como construído</t>
  </si>
  <si>
    <t>05554/ORSE</t>
  </si>
  <si>
    <t>Plotagem em papel formato A-1</t>
  </si>
  <si>
    <t>AUXILIAR DE ESCRITORIO</t>
  </si>
  <si>
    <t>IFAL 4.1</t>
  </si>
  <si>
    <t>ENGENHEIRO CIVIL DE OBRA PLENO COM ENCARGOS COMPLEMENTARES</t>
  </si>
  <si>
    <t>10562/ORSE</t>
  </si>
  <si>
    <t>MATERIAL DE ESCRITÓRIO</t>
  </si>
  <si>
    <t>CRONOGRAMA FÍSICO-FINANCEIRO</t>
  </si>
  <si>
    <t>DISCRIMINAÇÃO</t>
  </si>
  <si>
    <t>1º MÊS</t>
  </si>
  <si>
    <t>2º MÊS</t>
  </si>
  <si>
    <t>3º MÊS</t>
  </si>
  <si>
    <t>COM BDI</t>
  </si>
  <si>
    <t>VALOR PRODUZIDO (R$)</t>
  </si>
  <si>
    <t>PERCENTUAL PRODUZIDO (%)</t>
  </si>
  <si>
    <t>ACUMULADO (R$)</t>
  </si>
  <si>
    <t>PERCENTUAL ACUMULADO (%)</t>
  </si>
  <si>
    <t>ok</t>
  </si>
  <si>
    <t xml:space="preserve">BDI </t>
  </si>
  <si>
    <t>PLANILHA ORÇAMENTÁRIA</t>
  </si>
  <si>
    <t>Item</t>
  </si>
  <si>
    <t>Descrição</t>
  </si>
  <si>
    <t>Valor</t>
  </si>
  <si>
    <t>%</t>
  </si>
  <si>
    <t>% acumulado</t>
  </si>
  <si>
    <t>Classificação</t>
  </si>
  <si>
    <t>Estudo de definição do local em que será perfurado o poço.</t>
  </si>
  <si>
    <t>Outorga do direito do uso da água. Relatório Técnico em três vias para a solicitação de Outorga do Direito de Uso da Água, junto à Secretaria de Meio Ambiente Recurso Hídricos e Naturais, atendendo as exigências da Lei Estadual nº 5.965 de 10 de novembro de 1997, em consonância com a Lei Federal 9.433.</t>
  </si>
  <si>
    <t>Licença para obras hídricas</t>
  </si>
  <si>
    <t>Teste de qualidade da água, análise físico-química e bacteriológica.</t>
  </si>
  <si>
    <t>INSTALAÇÕES HIDRAULICAS</t>
  </si>
  <si>
    <t>INTERLIGAÇÃO DOS POÇOS</t>
  </si>
  <si>
    <t>IFAL 1.6</t>
  </si>
  <si>
    <t>Projeto as buit</t>
  </si>
  <si>
    <t>Deslocamento e instalação dos equipamentos</t>
  </si>
  <si>
    <t>IFAL 1.7</t>
  </si>
  <si>
    <t>Perfuração no diâmetro de 8.½”,  inclusive mão de obra.</t>
  </si>
  <si>
    <t>Reabertura no diâmetro de 12.¼”, inclusive mão de obra.</t>
  </si>
  <si>
    <t>Fornecimento e instalação de tubos geomecânicos no diâmetro de 6”.</t>
  </si>
  <si>
    <t>Fornecimento e instalação de centralizadores em aço no diâmetro de 6” .</t>
  </si>
  <si>
    <t>PÇ</t>
  </si>
  <si>
    <t>Fornecimento e instalação de cascalho selecionado.</t>
  </si>
  <si>
    <t>Desenvolvimento com compressor de ar.</t>
  </si>
  <si>
    <t>Teste de bombeamento escalonado em etapas com bomba submersa para determinar vazão.</t>
  </si>
  <si>
    <t>Fornecimento e instalação de hexametafosfato de sódio.</t>
  </si>
  <si>
    <t>Fornecimento e instalação bomba submersa  4R5 PA 3 estágios 0,5Hp 380V.</t>
  </si>
  <si>
    <t>Fornecimento e instalação tubo PVC roscável de 1. ¼”.</t>
  </si>
  <si>
    <t>Fornecimento e instalação de luva galvanizada de 1. ¼” .</t>
  </si>
  <si>
    <t>Fornecimento e instalação de curva PVC de 1. ¼”.</t>
  </si>
  <si>
    <t>Fornecimento e instalação de corda de Nylon.</t>
  </si>
  <si>
    <t>Fornecimento e instalação de cabo elétrico de 3x1.5mm.</t>
  </si>
  <si>
    <t>Fornecimento e instalação de quadro de comando.</t>
  </si>
  <si>
    <t>Fornecimento e instalação de  isolantes.</t>
  </si>
  <si>
    <t>Fornecimento e instalação de tampa do poço.</t>
  </si>
  <si>
    <t>Fornecimento e instalação de válvula de retenção horizontal 1. ¼”.</t>
  </si>
  <si>
    <t>Fornecimento e instalação de taxas do Crea/Cau e Semah.</t>
  </si>
  <si>
    <t>Fornecimento e instalação de hidrômetro.</t>
  </si>
  <si>
    <t>1.4</t>
  </si>
  <si>
    <t>1.5</t>
  </si>
  <si>
    <t>1.6</t>
  </si>
  <si>
    <t>Fornecimento e instalação de filtros geomecânicos no diâmetro de 6”.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</si>
  <si>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</si>
  <si>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</si>
  <si>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</si>
  <si>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</si>
  <si>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</si>
  <si>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</si>
  <si>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</si>
  <si>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</si>
  <si>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</si>
  <si>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</si>
  <si>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</si>
  <si>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</si>
  <si>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</si>
  <si>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</si>
  <si>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</si>
  <si>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</si>
  <si>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</si>
  <si>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</si>
  <si>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</si>
  <si>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</si>
  <si>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Foi realizada uma pesquisa de mercado, com empresas do ramo para saber quais serviços são necessários para perfuração e regularização de um poço na cidade de Maragogi.</t>
  </si>
  <si>
    <t>Estimativa tomando como base uma distância de 60 metros entre os poços</t>
  </si>
  <si>
    <t>ADMINISTRAÇÃO LOCAL E MANUTENÇÃO DO CANTEIRO</t>
  </si>
  <si>
    <t>Proteção sanitária, cimentação inclusive mão de obra</t>
  </si>
  <si>
    <t>11682/ORSE</t>
  </si>
  <si>
    <t>PESQUISA DE MERCADO</t>
  </si>
  <si>
    <t>ENGEPOÇOS
CNPJ: 22.859.056/001-39</t>
  </si>
  <si>
    <t>HP perfuração de comécio
CNPJ: 07.459.685/001-88</t>
  </si>
  <si>
    <t>UNIPOÇO
CNPJ: 05.211.421/001-85</t>
  </si>
  <si>
    <t>PREÇO ADOTADO 
MEDIANA</t>
  </si>
  <si>
    <t>Manual de uso e operação do serviço ou produto</t>
  </si>
  <si>
    <t>COMPOSIÇÕES</t>
  </si>
  <si>
    <t xml:space="preserve">DESCRIÇÃO DOS SERVIÇOS </t>
  </si>
  <si>
    <t>CODIGO</t>
  </si>
  <si>
    <t>COTAÇÃO 1.1</t>
  </si>
  <si>
    <t>COTAÇÃO 1.2</t>
  </si>
  <si>
    <t>COTAÇÃO 1.3</t>
  </si>
  <si>
    <t>COTAÇÃO 1.4</t>
  </si>
  <si>
    <t>COTAÇÃO 2.1</t>
  </si>
  <si>
    <t>COTAÇÃO 2.2</t>
  </si>
  <si>
    <t>COTAÇÃO 2.3</t>
  </si>
  <si>
    <t>COTAÇÃO 2.4</t>
  </si>
  <si>
    <t>COTAÇÃO 2.5</t>
  </si>
  <si>
    <t>COTAÇÃO 2.6</t>
  </si>
  <si>
    <t>COTAÇÃO 2.7</t>
  </si>
  <si>
    <t>COTAÇÃO 2.8</t>
  </si>
  <si>
    <t>COTAÇÃO 2.9</t>
  </si>
  <si>
    <t>COTAÇÃO 2.10</t>
  </si>
  <si>
    <t>COTAÇÃO 2.11</t>
  </si>
  <si>
    <t>COTAÇÃO 2.12</t>
  </si>
  <si>
    <t>COTAÇÃO 2.13</t>
  </si>
  <si>
    <t>COTAÇÃO 2.14</t>
  </si>
  <si>
    <t>COTAÇÃO 2.15</t>
  </si>
  <si>
    <t>COTAÇÃO 2.16</t>
  </si>
  <si>
    <t>COTAÇÃO 2.17</t>
  </si>
  <si>
    <t>COTAÇÃO 2.18</t>
  </si>
  <si>
    <t>COTAÇÃO 2.19</t>
  </si>
  <si>
    <t>COTAÇÃO 2.20</t>
  </si>
  <si>
    <t>COTAÇÃO 2.21</t>
  </si>
  <si>
    <t>COTAÇÃO 2.22</t>
  </si>
  <si>
    <t xml:space="preserve"> Laje de Proteção do Poço em concreto simples fabricado na obra, fck=21 mpa lançado e adensado</t>
  </si>
  <si>
    <t>CONJ</t>
  </si>
  <si>
    <t>Interligação do poço a executar com o reservatório existente(cerca de 60m entre eles), incluindo todos os serviços e itens relacionados à escavação, ao aterro, à tubulação, aos acessórios, às conexões, bombas, sistemas elétricos e quaisquer outros que se mostrem necessários para a perfeita execução e funcionamento dos serviços, inclusive mão de obra.</t>
  </si>
  <si>
    <t>COTAÇÃO 3.1</t>
  </si>
  <si>
    <t>SERVIÇOS DO ORSE</t>
  </si>
  <si>
    <t>ADMINSTRAÇÃO DA OBRA</t>
  </si>
  <si>
    <t>UNITÁRIO
SEM BDI</t>
  </si>
  <si>
    <t>UNITÁRIO COM BDI</t>
  </si>
  <si>
    <t>TOTAL DA OBRA</t>
  </si>
  <si>
    <t>COTAÇÃO 3.2</t>
  </si>
  <si>
    <t xml:space="preserve"> ENGENHEIRO CIVIL JUNIO</t>
  </si>
  <si>
    <t>INSTALAÇÃO HIDRO SANITÁRIA</t>
  </si>
  <si>
    <t>Perfuração de poço no Campus Maragogi com interligação ao poço existente no regime de execução indireta, empreitada por Preço Unitário 
(latitute 8º 55'21'' e longitude 35º 9'31'')
Endereço: Rodovia AL 101 Norte, Assentamento Nova Jerusalém Bairro Peroba.
Maragogi-AL - CEP 57955-000</t>
  </si>
  <si>
    <t>Maceió, 19 de novembro de 2018</t>
  </si>
  <si>
    <t>José Wellington da Silva</t>
  </si>
  <si>
    <t xml:space="preserve">Técnico em edificações </t>
  </si>
  <si>
    <t>CREA: 2710308614</t>
  </si>
  <si>
    <t>CPF:053.034185-96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</si>
</sst>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 R$ &quot;#,##0.00\ ;&quot;-R$ &quot;#,##0.00\ ;&quot; R$ -&quot;#\ ;@\ "/>
    <numFmt numFmtId="165" formatCode="&quot;R$ &quot;#,##0.00"/>
    <numFmt numFmtId="166" formatCode="[$R$-416]\ #,##0.00\ ;\-[$R$-416]\ #,##0.00\ ;[$R$-416]&quot; -&quot;#\ ;@\ "/>
    <numFmt numFmtId="167" formatCode="#,##0.00\ ;\-#,##0.00\ ;\-#\ ;@\ "/>
    <numFmt numFmtId="168" formatCode="0.000"/>
    <numFmt numFmtId="169" formatCode="[$R$-416]\ #,##0.00;[Red]\-[$R$-416]\ #,##0.00"/>
    <numFmt numFmtId="170" formatCode="[$R$-416]\ #,##0.000000;[Red]\-[$R$-416]\ #,##0.000000"/>
    <numFmt numFmtId="171" formatCode="&quot;R$&quot;\ #,##0.00"/>
  </numFmts>
  <fonts count="43" x14ac:knownFonts="1"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6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DC2300"/>
      <name val="Calibri"/>
      <family val="2"/>
      <charset val="1"/>
    </font>
    <font>
      <sz val="9"/>
      <name val="Calibri"/>
      <family val="2"/>
      <charset val="1"/>
    </font>
    <font>
      <sz val="11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i/>
      <sz val="10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1"/>
      <color rgb="FF808080"/>
      <name val="Calibri"/>
      <family val="2"/>
      <charset val="1"/>
    </font>
    <font>
      <sz val="10"/>
      <color rgb="FF80808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Times New Roman"/>
      <family val="1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92D050"/>
        <bgColor rgb="FF98B855"/>
      </patternFill>
    </fill>
    <fill>
      <patternFill patternType="solid">
        <fgColor rgb="FFD7E4BD"/>
        <bgColor rgb="FFDDDDDD"/>
      </patternFill>
    </fill>
    <fill>
      <patternFill patternType="solid">
        <fgColor rgb="FF00B050"/>
        <bgColor rgb="FF008080"/>
      </patternFill>
    </fill>
    <fill>
      <patternFill patternType="solid">
        <fgColor rgb="FFEBF1DE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008080"/>
      </patternFill>
    </fill>
    <fill>
      <patternFill patternType="solid">
        <fgColor theme="6" tint="0.59999389629810485"/>
        <bgColor rgb="FF808080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6" tint="0.79998168889431442"/>
        <bgColor rgb="FFDDDDDD"/>
      </patternFill>
    </fill>
    <fill>
      <patternFill patternType="solid">
        <fgColor theme="6" tint="0.79998168889431442"/>
        <bgColor rgb="FFFF9900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9" fontId="25" fillId="0" borderId="0" applyBorder="0" applyProtection="0"/>
    <xf numFmtId="164" fontId="13" fillId="0" borderId="0" applyBorder="0" applyProtection="0"/>
    <xf numFmtId="0" fontId="29" fillId="0" borderId="0"/>
    <xf numFmtId="0" fontId="30" fillId="0" borderId="0"/>
    <xf numFmtId="0" fontId="31" fillId="10" borderId="0"/>
    <xf numFmtId="0" fontId="31" fillId="11" borderId="0"/>
    <xf numFmtId="0" fontId="30" fillId="12" borderId="0"/>
    <xf numFmtId="0" fontId="32" fillId="13" borderId="0"/>
    <xf numFmtId="0" fontId="33" fillId="14" borderId="0"/>
    <xf numFmtId="9" fontId="29" fillId="0" borderId="0"/>
    <xf numFmtId="0" fontId="34" fillId="0" borderId="0"/>
    <xf numFmtId="0" fontId="35" fillId="15" borderId="0"/>
    <xf numFmtId="0" fontId="36" fillId="0" borderId="0"/>
    <xf numFmtId="0" fontId="37" fillId="0" borderId="0"/>
    <xf numFmtId="0" fontId="38" fillId="0" borderId="0"/>
    <xf numFmtId="0" fontId="39" fillId="16" borderId="0"/>
    <xf numFmtId="0" fontId="40" fillId="16" borderId="14"/>
    <xf numFmtId="0" fontId="29" fillId="0" borderId="0"/>
    <xf numFmtId="0" fontId="29" fillId="0" borderId="0"/>
    <xf numFmtId="0" fontId="32" fillId="0" borderId="0"/>
  </cellStyleXfs>
  <cellXfs count="329">
    <xf numFmtId="0" fontId="0" fillId="0" borderId="0" xfId="0"/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/>
    <xf numFmtId="164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 vertical="center"/>
    </xf>
    <xf numFmtId="9" fontId="14" fillId="4" borderId="1" xfId="2" applyNumberFormat="1" applyFont="1" applyFill="1" applyBorder="1" applyAlignment="1" applyProtection="1">
      <alignment horizontal="center"/>
    </xf>
    <xf numFmtId="9" fontId="13" fillId="6" borderId="1" xfId="0" applyNumberFormat="1" applyFont="1" applyFill="1" applyBorder="1" applyAlignment="1">
      <alignment horizontal="center" vertical="center"/>
    </xf>
    <xf numFmtId="164" fontId="14" fillId="0" borderId="5" xfId="2" applyFont="1" applyBorder="1" applyAlignment="1" applyProtection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2" fontId="10" fillId="7" borderId="1" xfId="0" applyNumberFormat="1" applyFont="1" applyFill="1" applyBorder="1" applyAlignment="1">
      <alignment horizontal="right" vertical="center" wrapText="1"/>
    </xf>
    <xf numFmtId="165" fontId="10" fillId="7" borderId="7" xfId="2" applyNumberFormat="1" applyFont="1" applyFill="1" applyBorder="1" applyAlignment="1" applyProtection="1">
      <alignment horizontal="right" vertical="center"/>
    </xf>
    <xf numFmtId="164" fontId="10" fillId="7" borderId="1" xfId="2" applyFont="1" applyFill="1" applyBorder="1" applyAlignment="1" applyProtection="1">
      <alignment horizontal="right" vertical="center"/>
    </xf>
    <xf numFmtId="165" fontId="14" fillId="0" borderId="1" xfId="2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9" xfId="0" applyNumberFormat="1" applyFont="1" applyBorder="1" applyAlignment="1" applyProtection="1">
      <alignment horizontal="justify" vertical="center" wrapText="1"/>
    </xf>
    <xf numFmtId="2" fontId="10" fillId="0" borderId="0" xfId="0" applyNumberFormat="1" applyFont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right" vertical="center"/>
    </xf>
    <xf numFmtId="164" fontId="10" fillId="0" borderId="0" xfId="2" applyFont="1" applyBorder="1" applyAlignment="1" applyProtection="1">
      <alignment horizontal="right" vertical="center"/>
    </xf>
    <xf numFmtId="164" fontId="10" fillId="0" borderId="10" xfId="2" applyFont="1" applyBorder="1" applyAlignment="1" applyProtection="1">
      <alignment horizontal="right" vertical="center"/>
    </xf>
    <xf numFmtId="9" fontId="14" fillId="0" borderId="1" xfId="2" applyNumberFormat="1" applyFont="1" applyBorder="1" applyAlignment="1" applyProtection="1">
      <alignment horizontal="center"/>
    </xf>
    <xf numFmtId="9" fontId="13" fillId="0" borderId="1" xfId="2" applyNumberFormat="1" applyFont="1" applyBorder="1" applyAlignment="1" applyProtection="1">
      <alignment horizontal="center"/>
    </xf>
    <xf numFmtId="164" fontId="10" fillId="0" borderId="7" xfId="2" applyFont="1" applyBorder="1" applyAlignment="1" applyProtection="1">
      <alignment horizontal="right" vertical="center"/>
    </xf>
    <xf numFmtId="4" fontId="16" fillId="4" borderId="8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14" fillId="0" borderId="1" xfId="2" applyFont="1" applyBorder="1" applyAlignment="1" applyProtection="1">
      <alignment horizontal="center" vertical="center"/>
    </xf>
    <xf numFmtId="0" fontId="10" fillId="7" borderId="1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164" fontId="10" fillId="0" borderId="1" xfId="0" applyNumberFormat="1" applyFont="1" applyBorder="1" applyAlignment="1" applyProtection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167" fontId="10" fillId="0" borderId="0" xfId="0" applyNumberFormat="1" applyFont="1" applyAlignment="1" applyProtection="1">
      <alignment horizontal="center" vertical="center"/>
    </xf>
    <xf numFmtId="164" fontId="10" fillId="0" borderId="0" xfId="0" applyNumberFormat="1" applyFont="1" applyAlignment="1" applyProtection="1">
      <alignment horizontal="right" vertical="center"/>
    </xf>
    <xf numFmtId="164" fontId="10" fillId="0" borderId="10" xfId="0" applyNumberFormat="1" applyFont="1" applyBorder="1" applyAlignment="1" applyProtection="1">
      <alignment horizontal="right" vertical="center"/>
    </xf>
    <xf numFmtId="0" fontId="19" fillId="3" borderId="7" xfId="0" applyFont="1" applyFill="1" applyBorder="1"/>
    <xf numFmtId="0" fontId="19" fillId="3" borderId="8" xfId="0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right"/>
    </xf>
    <xf numFmtId="165" fontId="19" fillId="3" borderId="7" xfId="0" applyNumberFormat="1" applyFont="1" applyFill="1" applyBorder="1" applyAlignment="1"/>
    <xf numFmtId="0" fontId="20" fillId="0" borderId="0" xfId="0" applyFont="1" applyAlignment="1">
      <alignment horizontal="left" vertical="center"/>
    </xf>
    <xf numFmtId="165" fontId="13" fillId="0" borderId="0" xfId="2" applyNumberFormat="1" applyFont="1" applyBorder="1" applyAlignment="1" applyProtection="1">
      <alignment horizontal="right"/>
    </xf>
    <xf numFmtId="0" fontId="19" fillId="0" borderId="0" xfId="0" applyFont="1" applyAlignment="1">
      <alignment horizontal="right" vertical="center"/>
    </xf>
    <xf numFmtId="9" fontId="13" fillId="0" borderId="0" xfId="2" applyNumberFormat="1" applyFont="1" applyBorder="1" applyAlignment="1" applyProtection="1"/>
    <xf numFmtId="10" fontId="13" fillId="0" borderId="0" xfId="2" applyNumberFormat="1" applyFont="1" applyBorder="1" applyAlignment="1" applyProtection="1"/>
    <xf numFmtId="164" fontId="0" fillId="0" borderId="0" xfId="0" applyNumberFormat="1"/>
    <xf numFmtId="0" fontId="9" fillId="0" borderId="3" xfId="0" applyFont="1" applyBorder="1" applyAlignment="1">
      <alignment vertical="center"/>
    </xf>
    <xf numFmtId="165" fontId="11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/>
    <xf numFmtId="0" fontId="13" fillId="0" borderId="0" xfId="0" applyFont="1"/>
    <xf numFmtId="168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168" fontId="4" fillId="4" borderId="8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/>
    </xf>
    <xf numFmtId="2" fontId="19" fillId="7" borderId="7" xfId="0" applyNumberFormat="1" applyFont="1" applyFill="1" applyBorder="1" applyAlignment="1" applyProtection="1">
      <alignment horizontal="right" vertical="center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left" vertical="center" wrapText="1"/>
    </xf>
    <xf numFmtId="2" fontId="19" fillId="7" borderId="1" xfId="0" applyNumberFormat="1" applyFont="1" applyFill="1" applyBorder="1" applyAlignment="1" applyProtection="1">
      <alignment horizontal="right" vertical="center"/>
    </xf>
    <xf numFmtId="0" fontId="15" fillId="5" borderId="8" xfId="0" applyFont="1" applyFill="1" applyBorder="1" applyAlignment="1"/>
    <xf numFmtId="0" fontId="15" fillId="5" borderId="8" xfId="0" applyFont="1" applyFill="1" applyBorder="1" applyAlignment="1">
      <alignment horizontal="left"/>
    </xf>
    <xf numFmtId="0" fontId="19" fillId="7" borderId="7" xfId="0" applyFont="1" applyFill="1" applyBorder="1" applyAlignment="1">
      <alignment horizontal="left" vertical="center"/>
    </xf>
    <xf numFmtId="0" fontId="19" fillId="7" borderId="8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center" vertical="center"/>
    </xf>
    <xf numFmtId="2" fontId="19" fillId="7" borderId="8" xfId="0" applyNumberFormat="1" applyFont="1" applyFill="1" applyBorder="1" applyAlignment="1" applyProtection="1">
      <alignment horizontal="right" vertical="center"/>
    </xf>
    <xf numFmtId="2" fontId="16" fillId="4" borderId="3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2" fontId="16" fillId="4" borderId="8" xfId="0" applyNumberFormat="1" applyFont="1" applyFill="1" applyBorder="1" applyAlignment="1">
      <alignment horizontal="center"/>
    </xf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15" fillId="4" borderId="8" xfId="0" applyFont="1" applyFill="1" applyBorder="1" applyAlignment="1"/>
    <xf numFmtId="0" fontId="22" fillId="0" borderId="0" xfId="0" applyFont="1" applyAlignment="1">
      <alignment wrapText="1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0" xfId="0" applyNumberFormat="1" applyFont="1"/>
    <xf numFmtId="0" fontId="22" fillId="0" borderId="0" xfId="0" applyFont="1" applyAlignment="1">
      <alignment horizontal="right"/>
    </xf>
    <xf numFmtId="0" fontId="22" fillId="0" borderId="11" xfId="0" applyFont="1" applyBorder="1"/>
    <xf numFmtId="0" fontId="22" fillId="0" borderId="0" xfId="0" applyFont="1"/>
    <xf numFmtId="0" fontId="0" fillId="0" borderId="11" xfId="0" applyBorder="1"/>
    <xf numFmtId="164" fontId="14" fillId="0" borderId="11" xfId="2" applyFont="1" applyBorder="1" applyAlignment="1" applyProtection="1">
      <alignment horizontal="center" vertical="center"/>
    </xf>
    <xf numFmtId="0" fontId="14" fillId="0" borderId="0" xfId="0" applyFont="1"/>
    <xf numFmtId="0" fontId="6" fillId="9" borderId="1" xfId="0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4" fontId="10" fillId="0" borderId="1" xfId="2" applyFont="1" applyBorder="1" applyAlignment="1" applyProtection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164" fontId="6" fillId="9" borderId="7" xfId="2" applyFont="1" applyFill="1" applyBorder="1" applyAlignment="1" applyProtection="1">
      <alignment horizontal="center"/>
    </xf>
    <xf numFmtId="0" fontId="15" fillId="9" borderId="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0" fontId="0" fillId="0" borderId="11" xfId="0" applyBorder="1"/>
    <xf numFmtId="168" fontId="14" fillId="0" borderId="5" xfId="0" applyNumberFormat="1" applyFont="1" applyBorder="1" applyAlignment="1">
      <alignment horizontal="center" vertical="center"/>
    </xf>
    <xf numFmtId="166" fontId="22" fillId="0" borderId="11" xfId="0" applyNumberFormat="1" applyFont="1" applyBorder="1"/>
    <xf numFmtId="166" fontId="22" fillId="0" borderId="0" xfId="0" applyNumberFormat="1" applyFont="1"/>
    <xf numFmtId="0" fontId="22" fillId="0" borderId="0" xfId="0" applyFont="1" applyAlignment="1">
      <alignment wrapText="1"/>
    </xf>
    <xf numFmtId="0" fontId="23" fillId="0" borderId="0" xfId="0" applyFont="1"/>
    <xf numFmtId="0" fontId="20" fillId="0" borderId="0" xfId="0" applyFont="1"/>
    <xf numFmtId="0" fontId="24" fillId="0" borderId="0" xfId="0" applyFont="1"/>
    <xf numFmtId="0" fontId="5" fillId="0" borderId="0" xfId="0" applyFont="1" applyAlignment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10" fontId="19" fillId="0" borderId="0" xfId="2" applyNumberFormat="1" applyFont="1" applyBorder="1" applyAlignment="1" applyProtection="1"/>
    <xf numFmtId="165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2" applyNumberFormat="1" applyFont="1" applyBorder="1" applyAlignment="1" applyProtection="1"/>
    <xf numFmtId="10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0" fontId="24" fillId="0" borderId="0" xfId="2" applyNumberFormat="1" applyFont="1" applyBorder="1" applyAlignment="1" applyProtection="1"/>
    <xf numFmtId="165" fontId="5" fillId="7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" xfId="0" applyNumberFormat="1" applyFont="1" applyFill="1" applyBorder="1" applyAlignment="1" applyProtection="1">
      <alignment horizontal="left" vertical="center" wrapText="1"/>
      <protection locked="0"/>
    </xf>
    <xf numFmtId="170" fontId="19" fillId="0" borderId="0" xfId="2" applyNumberFormat="1" applyFont="1" applyBorder="1" applyAlignment="1" applyProtection="1"/>
    <xf numFmtId="0" fontId="21" fillId="0" borderId="0" xfId="0" applyFont="1" applyAlignment="1">
      <alignment horizontal="center"/>
    </xf>
    <xf numFmtId="10" fontId="21" fillId="0" borderId="0" xfId="0" applyNumberFormat="1" applyFont="1" applyAlignment="1">
      <alignment horizontal="center"/>
    </xf>
    <xf numFmtId="4" fontId="0" fillId="0" borderId="0" xfId="0" applyNumberFormat="1"/>
    <xf numFmtId="0" fontId="13" fillId="0" borderId="0" xfId="0" applyFont="1" applyAlignment="1">
      <alignment horizontal="center" wrapText="1"/>
    </xf>
    <xf numFmtId="165" fontId="13" fillId="0" borderId="0" xfId="0" applyNumberFormat="1" applyFont="1"/>
    <xf numFmtId="165" fontId="0" fillId="0" borderId="0" xfId="0" applyNumberFormat="1"/>
    <xf numFmtId="0" fontId="13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/>
    <xf numFmtId="0" fontId="14" fillId="0" borderId="0" xfId="0" applyFont="1" applyFill="1"/>
    <xf numFmtId="0" fontId="0" fillId="0" borderId="0" xfId="0" applyFill="1"/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0" fontId="5" fillId="0" borderId="0" xfId="0" applyFont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/>
    </xf>
    <xf numFmtId="10" fontId="26" fillId="0" borderId="0" xfId="1" applyNumberFormat="1" applyFont="1" applyFill="1" applyBorder="1"/>
    <xf numFmtId="165" fontId="19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5" fillId="3" borderId="8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10" fontId="28" fillId="0" borderId="1" xfId="1" applyNumberFormat="1" applyFont="1" applyBorder="1" applyAlignment="1" applyProtection="1"/>
    <xf numFmtId="10" fontId="28" fillId="0" borderId="1" xfId="0" applyNumberFormat="1" applyFont="1" applyBorder="1"/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171" fontId="0" fillId="0" borderId="0" xfId="0" applyNumberFormat="1"/>
    <xf numFmtId="171" fontId="9" fillId="0" borderId="0" xfId="0" applyNumberFormat="1" applyFont="1" applyBorder="1" applyAlignment="1">
      <alignment vertical="center"/>
    </xf>
    <xf numFmtId="171" fontId="9" fillId="0" borderId="0" xfId="0" applyNumberFormat="1" applyFont="1" applyBorder="1" applyAlignment="1">
      <alignment vertical="center" wrapText="1"/>
    </xf>
    <xf numFmtId="171" fontId="9" fillId="0" borderId="0" xfId="0" applyNumberFormat="1" applyFont="1" applyAlignment="1">
      <alignment horizontal="center" vertical="center" wrapText="1"/>
    </xf>
    <xf numFmtId="171" fontId="28" fillId="0" borderId="1" xfId="0" applyNumberFormat="1" applyFont="1" applyBorder="1"/>
    <xf numFmtId="171" fontId="27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7" borderId="1" xfId="0" applyFont="1" applyFill="1" applyBorder="1" applyAlignment="1">
      <alignment horizontal="left" vertical="center" wrapText="1"/>
    </xf>
    <xf numFmtId="0" fontId="15" fillId="17" borderId="0" xfId="0" applyFont="1" applyFill="1" applyAlignment="1">
      <alignment horizontal="left" wrapText="1"/>
    </xf>
    <xf numFmtId="168" fontId="15" fillId="17" borderId="0" xfId="0" applyNumberFormat="1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166" fontId="10" fillId="0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wrapText="1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/>
    </xf>
    <xf numFmtId="0" fontId="15" fillId="18" borderId="0" xfId="0" applyFont="1" applyFill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 wrapText="1"/>
    </xf>
    <xf numFmtId="0" fontId="6" fillId="19" borderId="1" xfId="0" applyFont="1" applyFill="1" applyBorder="1" applyAlignment="1">
      <alignment horizontal="left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0" borderId="7" xfId="0" applyFont="1" applyFill="1" applyBorder="1" applyAlignment="1">
      <alignment vertical="center" wrapText="1"/>
    </xf>
    <xf numFmtId="0" fontId="15" fillId="20" borderId="8" xfId="0" applyFont="1" applyFill="1" applyBorder="1" applyAlignment="1">
      <alignment vertical="center" wrapText="1"/>
    </xf>
    <xf numFmtId="164" fontId="14" fillId="21" borderId="7" xfId="2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 wrapText="1"/>
    </xf>
    <xf numFmtId="165" fontId="10" fillId="0" borderId="7" xfId="2" applyNumberFormat="1" applyFont="1" applyFill="1" applyBorder="1" applyAlignment="1" applyProtection="1">
      <alignment horizontal="right" vertical="center"/>
    </xf>
    <xf numFmtId="171" fontId="10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14" fillId="0" borderId="5" xfId="2" applyFont="1" applyFill="1" applyBorder="1" applyAlignment="1" applyProtection="1">
      <alignment horizontal="center" vertical="center"/>
    </xf>
    <xf numFmtId="164" fontId="14" fillId="0" borderId="1" xfId="2" applyFont="1" applyFill="1" applyBorder="1" applyAlignment="1" applyProtection="1">
      <alignment horizontal="center" vertical="center"/>
    </xf>
    <xf numFmtId="164" fontId="10" fillId="0" borderId="1" xfId="2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/>
    </xf>
    <xf numFmtId="0" fontId="15" fillId="18" borderId="0" xfId="0" applyFont="1" applyFill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168" fontId="15" fillId="9" borderId="1" xfId="0" applyNumberFormat="1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164" fontId="6" fillId="20" borderId="7" xfId="2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6" fillId="0" borderId="7" xfId="2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 vertical="center"/>
    </xf>
    <xf numFmtId="0" fontId="15" fillId="17" borderId="0" xfId="0" applyFont="1" applyFill="1" applyAlignment="1">
      <alignment horizontal="left" vertical="center"/>
    </xf>
    <xf numFmtId="0" fontId="15" fillId="17" borderId="0" xfId="0" applyFont="1" applyFill="1" applyAlignment="1">
      <alignment horizontal="left" vertical="center" wrapText="1"/>
    </xf>
    <xf numFmtId="0" fontId="15" fillId="17" borderId="0" xfId="0" applyFont="1" applyFill="1" applyAlignment="1">
      <alignment horizontal="center" vertical="center"/>
    </xf>
    <xf numFmtId="168" fontId="15" fillId="17" borderId="0" xfId="0" applyNumberFormat="1" applyFont="1" applyFill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171" fontId="15" fillId="19" borderId="7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 wrapText="1"/>
    </xf>
    <xf numFmtId="10" fontId="12" fillId="22" borderId="1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/>
    <xf numFmtId="165" fontId="42" fillId="3" borderId="1" xfId="0" applyNumberFormat="1" applyFont="1" applyFill="1" applyBorder="1" applyAlignment="1">
      <alignment horizontal="center" vertical="center"/>
    </xf>
    <xf numFmtId="9" fontId="25" fillId="0" borderId="0" xfId="1"/>
    <xf numFmtId="0" fontId="19" fillId="0" borderId="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5" fillId="19" borderId="6" xfId="0" applyFont="1" applyFill="1" applyBorder="1" applyAlignment="1">
      <alignment vertical="center" wrapText="1"/>
    </xf>
    <xf numFmtId="0" fontId="15" fillId="9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5" fillId="19" borderId="7" xfId="0" applyFont="1" applyFill="1" applyBorder="1" applyAlignment="1">
      <alignment vertical="center" wrapText="1"/>
    </xf>
    <xf numFmtId="0" fontId="15" fillId="9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15" fillId="18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5" fillId="20" borderId="9" xfId="0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5" fillId="7" borderId="1" xfId="0" applyNumberFormat="1" applyFont="1" applyFill="1" applyBorder="1" applyAlignment="1">
      <alignment vertical="center"/>
    </xf>
    <xf numFmtId="10" fontId="5" fillId="0" borderId="1" xfId="0" applyNumberFormat="1" applyFont="1" applyBorder="1" applyAlignment="1" applyProtection="1">
      <alignment horizontal="left" vertical="center" wrapText="1"/>
      <protection locked="0"/>
    </xf>
    <xf numFmtId="165" fontId="19" fillId="0" borderId="1" xfId="0" applyNumberFormat="1" applyFont="1" applyBorder="1" applyAlignment="1" applyProtection="1">
      <alignment horizontal="right" vertical="center" wrapText="1"/>
      <protection locked="0"/>
    </xf>
    <xf numFmtId="165" fontId="19" fillId="0" borderId="1" xfId="0" applyNumberFormat="1" applyFont="1" applyBorder="1" applyAlignment="1">
      <alignment vertical="center"/>
    </xf>
    <xf numFmtId="10" fontId="5" fillId="7" borderId="1" xfId="0" applyNumberFormat="1" applyFont="1" applyFill="1" applyBorder="1" applyAlignment="1" applyProtection="1">
      <alignment horizontal="left" vertical="center" wrapText="1"/>
      <protection locked="0"/>
    </xf>
    <xf numFmtId="165" fontId="19" fillId="7" borderId="1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0" xfId="0" applyNumberFormat="1" applyFont="1"/>
    <xf numFmtId="164" fontId="0" fillId="0" borderId="2" xfId="0" applyNumberFormat="1" applyBorder="1" applyAlignment="1">
      <alignment horizontal="right"/>
    </xf>
    <xf numFmtId="0" fontId="22" fillId="0" borderId="2" xfId="0" applyFont="1" applyBorder="1" applyAlignment="1">
      <alignment horizontal="center"/>
    </xf>
  </cellXfs>
  <cellStyles count="2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Percent" xfId="10"/>
    <cellStyle name="Footnote" xfId="11"/>
    <cellStyle name="Good" xfId="12"/>
    <cellStyle name="Heading (user)" xfId="13"/>
    <cellStyle name="Heading 1" xfId="14"/>
    <cellStyle name="Heading 2" xfId="15"/>
    <cellStyle name="Neutral" xfId="16"/>
    <cellStyle name="Normal" xfId="0" builtinId="0"/>
    <cellStyle name="Normal 2" xfId="3"/>
    <cellStyle name="Note" xfId="17"/>
    <cellStyle name="Porcentagem" xfId="1" builtinId="5"/>
    <cellStyle name="Status" xfId="18"/>
    <cellStyle name="Text" xfId="19"/>
    <cellStyle name="Texto Explicativo" xfId="2" builtinId="53" customBuiltin="1"/>
    <cellStyle name="Warning" xfId="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77933C"/>
      <rgbColor rgb="FFC0C0C0"/>
      <rgbColor rgb="FF808080"/>
      <rgbColor rgb="FF98B855"/>
      <rgbColor rgb="FF993366"/>
      <rgbColor rgb="FFFFFFCC"/>
      <rgbColor rgb="FFEBF1D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B8FF"/>
      <rgbColor rgb="FFDDDDDD"/>
      <rgbColor rgb="FFCCFFCC"/>
      <rgbColor rgb="FFD7E4BD"/>
      <rgbColor rgb="FFBFBFBF"/>
      <rgbColor rgb="FFFF99CC"/>
      <rgbColor rgb="FFC3D69B"/>
      <rgbColor rgb="FFFFCCCC"/>
      <rgbColor rgb="FF3366FF"/>
      <rgbColor rgb="FF00B0F0"/>
      <rgbColor rgb="FF92D050"/>
      <rgbColor rgb="FFFFC000"/>
      <rgbColor rgb="FFFF9900"/>
      <rgbColor rgb="FFD27E2B"/>
      <rgbColor rgb="FF5F7E9F"/>
      <rgbColor rgb="FF878787"/>
      <rgbColor rgb="FF003366"/>
      <rgbColor rgb="FF00B050"/>
      <rgbColor rgb="FF003300"/>
      <rgbColor rgb="FF333300"/>
      <rgbColor rgb="FFDC2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pt-BR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CRUVA ABC</a:t>
            </a:r>
          </a:p>
        </c:rich>
      </c:tx>
      <c:layout>
        <c:manualLayout>
          <c:xMode val="edge"/>
          <c:yMode val="edge"/>
          <c:x val="0.40475767007558899"/>
          <c:y val="8.383010432190759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629168519342002E-2"/>
          <c:y val="2.09575260804769E-2"/>
          <c:w val="0.93437083148065803"/>
          <c:h val="0.81622578241430699"/>
        </c:manualLayout>
      </c:layout>
      <c:lineChart>
        <c:grouping val="standard"/>
        <c:varyColors val="0"/>
        <c:ser>
          <c:idx val="0"/>
          <c:order val="0"/>
          <c:tx>
            <c:strRef>
              <c:f>RESUMO!$A$1:$A$1</c:f>
              <c:strCache>
                <c:ptCount val="1"/>
              </c:strCache>
            </c:strRef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CURVA_ABC!$A$24:$A$55</c:f>
              <c:strCache>
                <c:ptCount val="32"/>
                <c:pt idx="0">
                  <c:v>2.2</c:v>
                </c:pt>
                <c:pt idx="1">
                  <c:v>2.1</c:v>
                </c:pt>
                <c:pt idx="2">
                  <c:v>3.1</c:v>
                </c:pt>
                <c:pt idx="3">
                  <c:v>1.4</c:v>
                </c:pt>
                <c:pt idx="4">
                  <c:v>2.3</c:v>
                </c:pt>
                <c:pt idx="5">
                  <c:v>3.2</c:v>
                </c:pt>
                <c:pt idx="6">
                  <c:v>2.4</c:v>
                </c:pt>
                <c:pt idx="7">
                  <c:v>2.11</c:v>
                </c:pt>
                <c:pt idx="8">
                  <c:v>2.7</c:v>
                </c:pt>
                <c:pt idx="9">
                  <c:v>2.8</c:v>
                </c:pt>
                <c:pt idx="10">
                  <c:v>2.6</c:v>
                </c:pt>
                <c:pt idx="11">
                  <c:v>4.1</c:v>
                </c:pt>
                <c:pt idx="12">
                  <c:v>1.1</c:v>
                </c:pt>
                <c:pt idx="13">
                  <c:v>2.17</c:v>
                </c:pt>
                <c:pt idx="14">
                  <c:v>2.21</c:v>
                </c:pt>
                <c:pt idx="15">
                  <c:v>2.9</c:v>
                </c:pt>
                <c:pt idx="16">
                  <c:v>2.12</c:v>
                </c:pt>
                <c:pt idx="17">
                  <c:v>1.2</c:v>
                </c:pt>
                <c:pt idx="18">
                  <c:v>2.16</c:v>
                </c:pt>
                <c:pt idx="19">
                  <c:v>2.22</c:v>
                </c:pt>
                <c:pt idx="20">
                  <c:v>1.6</c:v>
                </c:pt>
                <c:pt idx="21">
                  <c:v>1.3</c:v>
                </c:pt>
                <c:pt idx="22">
                  <c:v>2.10</c:v>
                </c:pt>
                <c:pt idx="23">
                  <c:v>1.5</c:v>
                </c:pt>
                <c:pt idx="24">
                  <c:v>2.5</c:v>
                </c:pt>
                <c:pt idx="25">
                  <c:v>2.13</c:v>
                </c:pt>
                <c:pt idx="26">
                  <c:v>2.20</c:v>
                </c:pt>
                <c:pt idx="27">
                  <c:v>2.15</c:v>
                </c:pt>
                <c:pt idx="28">
                  <c:v>2.23</c:v>
                </c:pt>
                <c:pt idx="29">
                  <c:v>2.19</c:v>
                </c:pt>
                <c:pt idx="30">
                  <c:v>2.18</c:v>
                </c:pt>
                <c:pt idx="31">
                  <c:v>2.14</c:v>
                </c:pt>
              </c:strCache>
            </c:strRef>
          </c:cat>
          <c:val>
            <c:numRef>
              <c:f>CURVA_ABC!$G$24:$G$55</c:f>
              <c:numCache>
                <c:formatCode>0.00%</c:formatCode>
                <c:ptCount val="32"/>
                <c:pt idx="0">
                  <c:v>0.10940885209045112</c:v>
                </c:pt>
                <c:pt idx="1">
                  <c:v>0.21761429514771519</c:v>
                </c:pt>
                <c:pt idx="2">
                  <c:v>0.32155270463364377</c:v>
                </c:pt>
                <c:pt idx="3">
                  <c:v>0.4036093437014821</c:v>
                </c:pt>
                <c:pt idx="4">
                  <c:v>0.47660143508017938</c:v>
                </c:pt>
                <c:pt idx="5">
                  <c:v>0.54498196763671136</c:v>
                </c:pt>
                <c:pt idx="6">
                  <c:v>0.60888764722381106</c:v>
                </c:pt>
                <c:pt idx="7">
                  <c:v>0.66457949147189577</c:v>
                </c:pt>
                <c:pt idx="8">
                  <c:v>0.71368229029785968</c:v>
                </c:pt>
                <c:pt idx="9">
                  <c:v>0.76278508912382359</c:v>
                </c:pt>
                <c:pt idx="10">
                  <c:v>0.79355627356188307</c:v>
                </c:pt>
                <c:pt idx="11">
                  <c:v>0.82165297031561602</c:v>
                </c:pt>
                <c:pt idx="12">
                  <c:v>0.84900518333822883</c:v>
                </c:pt>
                <c:pt idx="13">
                  <c:v>0.86541651115179652</c:v>
                </c:pt>
                <c:pt idx="14">
                  <c:v>0.88182783896536421</c:v>
                </c:pt>
                <c:pt idx="15">
                  <c:v>0.896187695589856</c:v>
                </c:pt>
                <c:pt idx="16">
                  <c:v>0.91032338995178863</c:v>
                </c:pt>
                <c:pt idx="17">
                  <c:v>0.92126427516083376</c:v>
                </c:pt>
                <c:pt idx="18">
                  <c:v>0.93220516036987888</c:v>
                </c:pt>
                <c:pt idx="19">
                  <c:v>0.94314604557892401</c:v>
                </c:pt>
                <c:pt idx="20">
                  <c:v>0.95321059989355061</c:v>
                </c:pt>
                <c:pt idx="21">
                  <c:v>0.96278398487622496</c:v>
                </c:pt>
                <c:pt idx="22">
                  <c:v>0.9704426045225566</c:v>
                </c:pt>
                <c:pt idx="23">
                  <c:v>0.97747202388708421</c:v>
                </c:pt>
                <c:pt idx="24">
                  <c:v>0.98168428677751851</c:v>
                </c:pt>
                <c:pt idx="25">
                  <c:v>0.98589654966795282</c:v>
                </c:pt>
                <c:pt idx="26">
                  <c:v>0.98972585949111858</c:v>
                </c:pt>
                <c:pt idx="27">
                  <c:v>0.99278926317974725</c:v>
                </c:pt>
                <c:pt idx="28">
                  <c:v>0.9954321693827477</c:v>
                </c:pt>
                <c:pt idx="29">
                  <c:v>0.99762034642455677</c:v>
                </c:pt>
                <c:pt idx="30">
                  <c:v>0.99939818505864664</c:v>
                </c:pt>
                <c:pt idx="3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1988736"/>
        <c:axId val="91990272"/>
      </c:lineChart>
      <c:catAx>
        <c:axId val="919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pt-BR"/>
          </a:p>
        </c:txPr>
        <c:crossAx val="91990272"/>
        <c:crosses val="autoZero"/>
        <c:auto val="1"/>
        <c:lblAlgn val="ctr"/>
        <c:lblOffset val="100"/>
        <c:noMultiLvlLbl val="1"/>
      </c:catAx>
      <c:valAx>
        <c:axId val="919902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pt-BR"/>
          </a:p>
        </c:txPr>
        <c:crossAx val="9198873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142875</xdr:colOff>
      <xdr:row>4</xdr:row>
      <xdr:rowOff>102140</xdr:rowOff>
    </xdr:to>
    <xdr:pic>
      <xdr:nvPicPr>
        <xdr:cNvPr id="3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666750" cy="70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1838325</xdr:colOff>
      <xdr:row>0</xdr:row>
      <xdr:rowOff>57150</xdr:rowOff>
    </xdr:from>
    <xdr:to>
      <xdr:col>1</xdr:col>
      <xdr:colOff>2514600</xdr:colOff>
      <xdr:row>4</xdr:row>
      <xdr:rowOff>9525</xdr:rowOff>
    </xdr:to>
    <xdr:pic>
      <xdr:nvPicPr>
        <xdr:cNvPr id="4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57150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3035299</xdr:colOff>
      <xdr:row>0</xdr:row>
      <xdr:rowOff>84665</xdr:rowOff>
    </xdr:from>
    <xdr:to>
      <xdr:col>4</xdr:col>
      <xdr:colOff>111124</xdr:colOff>
      <xdr:row>4</xdr:row>
      <xdr:rowOff>79373</xdr:rowOff>
    </xdr:to>
    <xdr:pic>
      <xdr:nvPicPr>
        <xdr:cNvPr id="3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1216" y="8466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0</xdr:row>
      <xdr:rowOff>55034</xdr:rowOff>
    </xdr:from>
    <xdr:to>
      <xdr:col>1</xdr:col>
      <xdr:colOff>747183</xdr:colOff>
      <xdr:row>5</xdr:row>
      <xdr:rowOff>98426</xdr:rowOff>
    </xdr:to>
    <xdr:pic>
      <xdr:nvPicPr>
        <xdr:cNvPr id="5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5034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3110441</xdr:colOff>
      <xdr:row>0</xdr:row>
      <xdr:rowOff>29631</xdr:rowOff>
    </xdr:from>
    <xdr:to>
      <xdr:col>4</xdr:col>
      <xdr:colOff>259291</xdr:colOff>
      <xdr:row>3</xdr:row>
      <xdr:rowOff>169331</xdr:rowOff>
    </xdr:to>
    <xdr:pic>
      <xdr:nvPicPr>
        <xdr:cNvPr id="4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6" y="29631"/>
          <a:ext cx="7112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139701</xdr:rowOff>
    </xdr:from>
    <xdr:to>
      <xdr:col>1</xdr:col>
      <xdr:colOff>357968</xdr:colOff>
      <xdr:row>5</xdr:row>
      <xdr:rowOff>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39701"/>
          <a:ext cx="821518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474840</xdr:colOff>
      <xdr:row>0</xdr:row>
      <xdr:rowOff>172080</xdr:rowOff>
    </xdr:from>
    <xdr:to>
      <xdr:col>2</xdr:col>
      <xdr:colOff>477000</xdr:colOff>
      <xdr:row>5</xdr:row>
      <xdr:rowOff>24480</xdr:rowOff>
    </xdr:to>
    <xdr:pic>
      <xdr:nvPicPr>
        <xdr:cNvPr id="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254680" y="172080"/>
          <a:ext cx="2160" cy="81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474840</xdr:colOff>
      <xdr:row>0</xdr:row>
      <xdr:rowOff>171000</xdr:rowOff>
    </xdr:from>
    <xdr:to>
      <xdr:col>2</xdr:col>
      <xdr:colOff>477000</xdr:colOff>
      <xdr:row>5</xdr:row>
      <xdr:rowOff>17280</xdr:rowOff>
    </xdr:to>
    <xdr:pic>
      <xdr:nvPicPr>
        <xdr:cNvPr id="5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254680" y="171000"/>
          <a:ext cx="2160" cy="80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2764366</xdr:colOff>
      <xdr:row>0</xdr:row>
      <xdr:rowOff>0</xdr:rowOff>
    </xdr:from>
    <xdr:to>
      <xdr:col>2</xdr:col>
      <xdr:colOff>3475566</xdr:colOff>
      <xdr:row>3</xdr:row>
      <xdr:rowOff>168275</xdr:rowOff>
    </xdr:to>
    <xdr:pic>
      <xdr:nvPicPr>
        <xdr:cNvPr id="8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6966" y="0"/>
          <a:ext cx="7112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91019</xdr:rowOff>
    </xdr:from>
    <xdr:to>
      <xdr:col>1</xdr:col>
      <xdr:colOff>171450</xdr:colOff>
      <xdr:row>4</xdr:row>
      <xdr:rowOff>222634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1019"/>
          <a:ext cx="790575" cy="85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64080</xdr:colOff>
      <xdr:row>18</xdr:row>
      <xdr:rowOff>9360</xdr:rowOff>
    </xdr:from>
    <xdr:to>
      <xdr:col>6</xdr:col>
      <xdr:colOff>989865</xdr:colOff>
      <xdr:row>18</xdr:row>
      <xdr:rowOff>9720</xdr:rowOff>
    </xdr:to>
    <xdr:sp macro="" textlink="">
      <xdr:nvSpPr>
        <xdr:cNvPr id="13" name="CustomShape 1"/>
        <xdr:cNvSpPr/>
      </xdr:nvSpPr>
      <xdr:spPr>
        <a:xfrm flipH="1">
          <a:off x="2444040" y="7522560"/>
          <a:ext cx="3638880" cy="360"/>
        </a:xfrm>
        <a:custGeom>
          <a:avLst/>
          <a:gdLst/>
          <a:ahLst/>
          <a:cxnLst/>
          <a:rect l="l" t="t" r="r" b="b"/>
          <a:pathLst>
            <a:path w="1" h="2">
              <a:moveTo>
                <a:pt x="35" y="35"/>
              </a:moveTo>
              <a:lnTo>
                <a:pt x="36" y="37"/>
              </a:lnTo>
            </a:path>
          </a:pathLst>
        </a:custGeom>
        <a:noFill/>
        <a:ln>
          <a:solidFill>
            <a:srgbClr val="4A7EB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590670</xdr:colOff>
      <xdr:row>4</xdr:row>
      <xdr:rowOff>30825</xdr:rowOff>
    </xdr:from>
    <xdr:to>
      <xdr:col>6</xdr:col>
      <xdr:colOff>514350</xdr:colOff>
      <xdr:row>21</xdr:row>
      <xdr:rowOff>161925</xdr:rowOff>
    </xdr:to>
    <xdr:graphicFrame macro="">
      <xdr:nvGraphicFramePr>
        <xdr:cNvPr id="16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57150</xdr:rowOff>
    </xdr:from>
    <xdr:to>
      <xdr:col>1</xdr:col>
      <xdr:colOff>95250</xdr:colOff>
      <xdr:row>3</xdr:row>
      <xdr:rowOff>108119</xdr:rowOff>
    </xdr:to>
    <xdr:pic>
      <xdr:nvPicPr>
        <xdr:cNvPr id="5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600075" cy="631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2352675</xdr:colOff>
      <xdr:row>0</xdr:row>
      <xdr:rowOff>57150</xdr:rowOff>
    </xdr:from>
    <xdr:to>
      <xdr:col>2</xdr:col>
      <xdr:colOff>2924175</xdr:colOff>
      <xdr:row>3</xdr:row>
      <xdr:rowOff>47625</xdr:rowOff>
    </xdr:to>
    <xdr:pic>
      <xdr:nvPicPr>
        <xdr:cNvPr id="6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571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tabSelected="1" zoomScaleNormal="100" workbookViewId="0">
      <selection activeCell="D27" sqref="D27"/>
    </sheetView>
  </sheetViews>
  <sheetFormatPr defaultRowHeight="14.25" x14ac:dyDescent="0.2"/>
  <cols>
    <col min="1" max="1" width="8.375" customWidth="1"/>
    <col min="2" max="2" width="45.5" customWidth="1"/>
    <col min="3" max="3" width="6" customWidth="1"/>
    <col min="4" max="4" width="14.375" customWidth="1"/>
    <col min="5" max="5" width="16.25" customWidth="1"/>
    <col min="6" max="1025" width="8.375" customWidth="1"/>
  </cols>
  <sheetData>
    <row r="5" spans="1:8" ht="22.35" customHeight="1" x14ac:dyDescent="0.2">
      <c r="A5" s="2"/>
      <c r="B5" s="2"/>
      <c r="C5" s="2"/>
    </row>
    <row r="6" spans="1:8" ht="27.75" customHeight="1" x14ac:dyDescent="0.2">
      <c r="A6" s="299" t="s">
        <v>0</v>
      </c>
      <c r="B6" s="299"/>
      <c r="C6" s="299"/>
      <c r="D6" s="299"/>
    </row>
    <row r="7" spans="1:8" ht="84.75" customHeight="1" x14ac:dyDescent="0.2">
      <c r="A7" s="300" t="s">
        <v>200</v>
      </c>
      <c r="B7" s="300"/>
      <c r="C7" s="300"/>
      <c r="D7" s="300"/>
    </row>
    <row r="8" spans="1:8" x14ac:dyDescent="0.2">
      <c r="D8" s="2"/>
    </row>
    <row r="9" spans="1:8" s="114" customFormat="1" x14ac:dyDescent="0.2">
      <c r="D9" s="82"/>
    </row>
    <row r="10" spans="1:8" ht="15" x14ac:dyDescent="0.25">
      <c r="A10" s="3" t="str">
        <f>PLANILHA_UNIFICADA!A14</f>
        <v>01.</v>
      </c>
      <c r="B10" s="301" t="str">
        <f>PLANILHA_UNIFICADA!C14</f>
        <v>SERVIÇOS PRELIMINARES</v>
      </c>
      <c r="C10" s="301"/>
      <c r="D10" s="4">
        <f>PLANILHA_UNIFICADA!I14</f>
        <v>6656.89</v>
      </c>
    </row>
    <row r="11" spans="1:8" ht="15" x14ac:dyDescent="0.25">
      <c r="A11" s="3" t="str">
        <f>PLANILHA_UNIFICADA!A22</f>
        <v>02.</v>
      </c>
      <c r="B11" s="301" t="str">
        <f>PLANILHA_UNIFICADA!C22</f>
        <v>INSTALAÇÃO HIDRO SANITÁRIA</v>
      </c>
      <c r="C11" s="301"/>
      <c r="D11" s="5">
        <f>PLANILHA_UNIFICADA!I22</f>
        <v>29548.05</v>
      </c>
    </row>
    <row r="12" spans="1:8" ht="15" x14ac:dyDescent="0.25">
      <c r="A12" s="3" t="str">
        <f>PLANILHA_UNIFICADA!A47</f>
        <v>03.</v>
      </c>
      <c r="B12" s="301" t="str">
        <f>PLANILHA_UNIFICADA!C47</f>
        <v>SERVIÇOS COMPLEMENTARES</v>
      </c>
      <c r="C12" s="301"/>
      <c r="D12" s="5">
        <f>PLANILHA_UNIFICADA!I47</f>
        <v>7802.55</v>
      </c>
    </row>
    <row r="13" spans="1:8" ht="15" x14ac:dyDescent="0.25">
      <c r="A13" s="3" t="str">
        <f>PLANILHA_UNIFICADA!A51</f>
        <v>04.</v>
      </c>
      <c r="B13" s="301" t="str">
        <f>PLANILHA_UNIFICADA!C51</f>
        <v>GERENCIAMENTO DE OBRAS/FISCALIZAÇÃO</v>
      </c>
      <c r="C13" s="301"/>
      <c r="D13" s="5">
        <f>PLANILHA_UNIFICADA!I51</f>
        <v>1272.21</v>
      </c>
    </row>
    <row r="14" spans="1:8" ht="15" x14ac:dyDescent="0.25">
      <c r="A14" s="298" t="s">
        <v>1</v>
      </c>
      <c r="B14" s="298"/>
      <c r="C14" s="7"/>
      <c r="D14" s="8">
        <f>SUM(D10:D13)</f>
        <v>45279.700000000004</v>
      </c>
      <c r="E14" s="6"/>
      <c r="F14" s="6"/>
      <c r="G14" s="6"/>
      <c r="H14" s="6"/>
    </row>
    <row r="17" spans="2:4" x14ac:dyDescent="0.2">
      <c r="B17" s="9"/>
      <c r="C17" s="9"/>
    </row>
    <row r="18" spans="2:4" ht="15.75" x14ac:dyDescent="0.2">
      <c r="B18" s="296" t="s">
        <v>2</v>
      </c>
      <c r="C18" s="296"/>
    </row>
    <row r="19" spans="2:4" x14ac:dyDescent="0.2">
      <c r="B19" s="297" t="s">
        <v>3</v>
      </c>
      <c r="C19" s="297"/>
    </row>
    <row r="20" spans="2:4" x14ac:dyDescent="0.2">
      <c r="B20" s="297" t="s">
        <v>4</v>
      </c>
      <c r="C20" s="297"/>
    </row>
    <row r="21" spans="2:4" x14ac:dyDescent="0.2">
      <c r="B21" s="297" t="s">
        <v>5</v>
      </c>
      <c r="C21" s="297"/>
      <c r="D21" s="11"/>
    </row>
  </sheetData>
  <mergeCells count="11">
    <mergeCell ref="B13:C13"/>
    <mergeCell ref="A6:D6"/>
    <mergeCell ref="A7:D7"/>
    <mergeCell ref="B10:C10"/>
    <mergeCell ref="B11:C11"/>
    <mergeCell ref="B12:C12"/>
    <mergeCell ref="B18:C18"/>
    <mergeCell ref="B19:C19"/>
    <mergeCell ref="B20:C20"/>
    <mergeCell ref="B21:C21"/>
    <mergeCell ref="A14:B14"/>
  </mergeCells>
  <printOptions horizontalCentered="1" verticalCentered="1"/>
  <pageMargins left="0.98402777777777795" right="0.39374999999999999" top="1.14513888888889" bottom="1.1812499999999999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"/>
  <sheetViews>
    <sheetView topLeftCell="A49" zoomScale="90" zoomScaleNormal="90" workbookViewId="0">
      <selection activeCell="F61" sqref="F61:H64"/>
    </sheetView>
  </sheetViews>
  <sheetFormatPr defaultRowHeight="14.25" x14ac:dyDescent="0.2"/>
  <cols>
    <col min="1" max="1" width="4" customWidth="1"/>
    <col min="2" max="2" width="10.75" style="12" customWidth="1"/>
    <col min="3" max="3" width="41.125" style="13" customWidth="1"/>
    <col min="4" max="4" width="6.375" style="14" customWidth="1"/>
    <col min="5" max="5" width="6.5" style="15" customWidth="1"/>
    <col min="6" max="6" width="9.625" style="2" customWidth="1"/>
    <col min="7" max="7" width="9.625" style="82" customWidth="1"/>
    <col min="8" max="8" width="15.625" style="16" customWidth="1"/>
    <col min="9" max="9" width="13.75" style="16" customWidth="1"/>
    <col min="10" max="10" width="6.125" customWidth="1"/>
    <col min="11" max="11" width="13.625" style="17" customWidth="1"/>
    <col min="12" max="12" width="14.375" style="17" customWidth="1"/>
    <col min="13" max="13" width="13.625" customWidth="1"/>
    <col min="14" max="14" width="15.75" customWidth="1"/>
    <col min="15" max="15" width="15.625" style="14" customWidth="1"/>
    <col min="16" max="16" width="15.625" customWidth="1"/>
    <col min="17" max="18" width="16.625" customWidth="1"/>
    <col min="19" max="20" width="11.875" customWidth="1"/>
    <col min="21" max="21" width="9.125" customWidth="1"/>
    <col min="22" max="1013" width="8.625" customWidth="1"/>
    <col min="1014" max="1023" width="8.75" customWidth="1"/>
  </cols>
  <sheetData>
    <row r="4" spans="1:15" x14ac:dyDescent="0.2">
      <c r="J4" s="17"/>
      <c r="L4"/>
      <c r="N4" s="14"/>
      <c r="O4"/>
    </row>
    <row r="5" spans="1:15" x14ac:dyDescent="0.2">
      <c r="A5" s="2"/>
    </row>
    <row r="6" spans="1:15" s="114" customFormat="1" x14ac:dyDescent="0.2">
      <c r="A6" s="82"/>
      <c r="B6" s="12"/>
      <c r="C6" s="13"/>
      <c r="D6" s="213"/>
      <c r="E6" s="81"/>
      <c r="F6" s="82"/>
      <c r="G6" s="82"/>
      <c r="H6" s="83"/>
      <c r="I6" s="83"/>
      <c r="K6" s="17"/>
      <c r="L6" s="17"/>
      <c r="O6" s="213"/>
    </row>
    <row r="7" spans="1:15" x14ac:dyDescent="0.2">
      <c r="A7" s="2"/>
    </row>
    <row r="8" spans="1:15" ht="21" x14ac:dyDescent="0.2">
      <c r="A8" s="299" t="s">
        <v>86</v>
      </c>
      <c r="B8" s="299"/>
      <c r="C8" s="299"/>
      <c r="D8" s="299"/>
      <c r="E8" s="299"/>
      <c r="F8" s="299"/>
      <c r="G8" s="299"/>
      <c r="H8" s="299"/>
      <c r="I8" s="299"/>
      <c r="M8" s="76"/>
    </row>
    <row r="9" spans="1:15" ht="111" customHeight="1" x14ac:dyDescent="0.2">
      <c r="A9" s="305" t="str">
        <f>RESUMO!A7</f>
        <v>Perfuração de poço no Campus Maragogi com interligação ao poço existente no regime de execução indireta, empreitada por Preço Unitário 
(latitute 8º 55'21'' e longitude 35º 9'31'')
Endereço: Rodovia AL 101 Norte, Assentamento Nova Jerusalém Bairro Peroba.
Maragogi-AL - CEP 57955-000</v>
      </c>
      <c r="B9" s="305"/>
      <c r="C9" s="305"/>
      <c r="D9" s="305"/>
      <c r="E9" s="305"/>
      <c r="F9" s="305"/>
      <c r="G9" s="305"/>
      <c r="H9" s="305"/>
      <c r="I9" s="305"/>
      <c r="M9" s="283"/>
    </row>
    <row r="10" spans="1:15" s="114" customFormat="1" ht="18.75" x14ac:dyDescent="0.2">
      <c r="A10" s="1"/>
      <c r="B10" s="1"/>
      <c r="C10" s="1"/>
      <c r="D10" s="1"/>
      <c r="E10" s="1"/>
      <c r="F10" s="1"/>
      <c r="G10" s="212"/>
      <c r="H10" s="279" t="s">
        <v>85</v>
      </c>
      <c r="I10" s="280">
        <v>0.23849999999999999</v>
      </c>
      <c r="K10" s="17"/>
      <c r="L10" s="17"/>
      <c r="O10" s="52"/>
    </row>
    <row r="11" spans="1:15" ht="21.75" customHeight="1" x14ac:dyDescent="0.2"/>
    <row r="12" spans="1:15" ht="14.25" customHeight="1" x14ac:dyDescent="0.2">
      <c r="A12" s="304" t="s">
        <v>6</v>
      </c>
      <c r="B12" s="304" t="s">
        <v>7</v>
      </c>
      <c r="C12" s="306" t="s">
        <v>8</v>
      </c>
      <c r="D12" s="304" t="s">
        <v>9</v>
      </c>
      <c r="E12" s="307" t="s">
        <v>10</v>
      </c>
      <c r="F12" s="304" t="s">
        <v>11</v>
      </c>
      <c r="G12" s="304"/>
      <c r="H12" s="304"/>
      <c r="I12" s="304"/>
      <c r="K12" s="303" t="s">
        <v>13</v>
      </c>
      <c r="L12" s="303" t="s">
        <v>14</v>
      </c>
      <c r="M12" s="303" t="s">
        <v>15</v>
      </c>
      <c r="N12" s="302" t="s">
        <v>16</v>
      </c>
    </row>
    <row r="13" spans="1:15" ht="25.5" x14ac:dyDescent="0.2">
      <c r="A13" s="304"/>
      <c r="B13" s="304"/>
      <c r="C13" s="306"/>
      <c r="D13" s="304"/>
      <c r="E13" s="307"/>
      <c r="F13" s="19" t="s">
        <v>194</v>
      </c>
      <c r="G13" s="19" t="s">
        <v>195</v>
      </c>
      <c r="H13" s="18" t="s">
        <v>17</v>
      </c>
      <c r="I13" s="18" t="s">
        <v>12</v>
      </c>
      <c r="K13" s="303"/>
      <c r="L13" s="303"/>
      <c r="M13" s="303"/>
      <c r="N13" s="302"/>
    </row>
    <row r="14" spans="1:15" ht="15" x14ac:dyDescent="0.25">
      <c r="A14" s="20" t="s">
        <v>18</v>
      </c>
      <c r="B14" s="21" t="s">
        <v>18</v>
      </c>
      <c r="C14" s="22" t="s">
        <v>19</v>
      </c>
      <c r="D14" s="23"/>
      <c r="E14" s="24"/>
      <c r="F14" s="25"/>
      <c r="G14" s="25"/>
      <c r="H14" s="26">
        <f>SUM(H15:H20)</f>
        <v>5374.96</v>
      </c>
      <c r="I14" s="26">
        <f>SUM(I15:I20)</f>
        <v>6656.89</v>
      </c>
      <c r="K14" s="27">
        <f>(SUM(K15:K20)/$I$14)</f>
        <v>0.88372798709307199</v>
      </c>
      <c r="L14" s="27">
        <f t="shared" ref="L14:M14" si="0">(SUM(L15:L20)/$I$14)</f>
        <v>0</v>
      </c>
      <c r="M14" s="27">
        <f t="shared" si="0"/>
        <v>0.116272012906928</v>
      </c>
      <c r="N14" s="28">
        <f>SUM(K14:M14)</f>
        <v>1</v>
      </c>
    </row>
    <row r="15" spans="1:15" x14ac:dyDescent="0.2">
      <c r="A15" s="30" t="str">
        <f>MEMORIA_DE_CALCULO!A9</f>
        <v>1.1</v>
      </c>
      <c r="B15" s="30" t="str">
        <f>MEMORIA_DE_CALCULO!B9</f>
        <v>COTAÇÃO 1.1</v>
      </c>
      <c r="C15" s="31" t="str">
        <f>MEMORIA_DE_CALCULO!C9</f>
        <v>Estudo de definição do local em que será perfurado o poço.</v>
      </c>
      <c r="D15" s="30" t="str">
        <f>MEMORIA_DE_CALCULO!D9</f>
        <v>und</v>
      </c>
      <c r="E15" s="32">
        <f>MEMORIA_DE_CALCULO!E9</f>
        <v>1</v>
      </c>
      <c r="F15" s="33">
        <f>VLOOKUP(B15,COMPOSIÇÕES_UNITÁRIAS!$A$1:$AF$18857,8,)</f>
        <v>1000</v>
      </c>
      <c r="G15" s="33">
        <f>F15*(1+$I$10)</f>
        <v>1238.5</v>
      </c>
      <c r="H15" s="34">
        <f>ROUND(F15*E15,2)</f>
        <v>1000</v>
      </c>
      <c r="I15" s="34">
        <f>ROUND(G15*E15,2)</f>
        <v>1238.5</v>
      </c>
      <c r="K15" s="35">
        <f>I15</f>
        <v>1238.5</v>
      </c>
      <c r="L15" s="35"/>
      <c r="M15" s="35"/>
      <c r="N15" s="29">
        <f t="shared" ref="N15:N21" si="1">SUM(K15:M15)-I15</f>
        <v>0</v>
      </c>
    </row>
    <row r="16" spans="1:15" x14ac:dyDescent="0.2">
      <c r="A16" s="30" t="str">
        <f>MEMORIA_DE_CALCULO!A10</f>
        <v>1.2</v>
      </c>
      <c r="B16" s="30" t="str">
        <f>MEMORIA_DE_CALCULO!B10</f>
        <v>COTAÇÃO 1.2</v>
      </c>
      <c r="C16" s="31" t="str">
        <f>MEMORIA_DE_CALCULO!C10</f>
        <v>Licença para obras hídricas</v>
      </c>
      <c r="D16" s="30" t="str">
        <f>MEMORIA_DE_CALCULO!D10</f>
        <v>und</v>
      </c>
      <c r="E16" s="32">
        <f>MEMORIA_DE_CALCULO!E10</f>
        <v>1</v>
      </c>
      <c r="F16" s="33">
        <f>VLOOKUP(B16,COMPOSIÇÕES_UNITÁRIAS!$A$1:$AF$18857,8,)</f>
        <v>400</v>
      </c>
      <c r="G16" s="33">
        <f t="shared" ref="G16:G20" si="2">F16*(1+$I$10)</f>
        <v>495.4</v>
      </c>
      <c r="H16" s="34">
        <f t="shared" ref="H16:H20" si="3">ROUND(F16*E16,2)</f>
        <v>400</v>
      </c>
      <c r="I16" s="34">
        <f t="shared" ref="I16:I20" si="4">ROUND(G16*E16,2)</f>
        <v>495.4</v>
      </c>
      <c r="K16" s="35">
        <f t="shared" ref="K16:K18" si="5">I16</f>
        <v>495.4</v>
      </c>
      <c r="L16" s="35"/>
      <c r="M16" s="35"/>
      <c r="N16" s="29">
        <f t="shared" si="1"/>
        <v>0</v>
      </c>
    </row>
    <row r="17" spans="1:23" x14ac:dyDescent="0.2">
      <c r="A17" s="30" t="str">
        <f>MEMORIA_DE_CALCULO!A11</f>
        <v>1.3</v>
      </c>
      <c r="B17" s="30" t="str">
        <f>MEMORIA_DE_CALCULO!B11</f>
        <v>COTAÇÃO 1.3</v>
      </c>
      <c r="C17" s="31" t="str">
        <f>MEMORIA_DE_CALCULO!C11</f>
        <v>Teste de qualidade da água, análise físico-química e bacteriológica.</v>
      </c>
      <c r="D17" s="30" t="str">
        <f>MEMORIA_DE_CALCULO!D11</f>
        <v>und</v>
      </c>
      <c r="E17" s="32">
        <f>MEMORIA_DE_CALCULO!E11</f>
        <v>1</v>
      </c>
      <c r="F17" s="33">
        <f>VLOOKUP(B17,COMPOSIÇÕES_UNITÁRIAS!$A$1:$AF$18857,8,)</f>
        <v>350</v>
      </c>
      <c r="G17" s="33">
        <f t="shared" si="2"/>
        <v>433.47499999999997</v>
      </c>
      <c r="H17" s="34">
        <f t="shared" si="3"/>
        <v>350</v>
      </c>
      <c r="I17" s="34">
        <f t="shared" si="4"/>
        <v>433.48</v>
      </c>
      <c r="K17" s="35">
        <f t="shared" si="5"/>
        <v>433.48</v>
      </c>
      <c r="L17" s="35"/>
      <c r="M17" s="35"/>
      <c r="N17" s="29">
        <f t="shared" si="1"/>
        <v>0</v>
      </c>
    </row>
    <row r="18" spans="1:23" x14ac:dyDescent="0.2">
      <c r="A18" s="55" t="str">
        <f>MEMORIA_DE_CALCULO!A12</f>
        <v>1.4</v>
      </c>
      <c r="B18" s="55" t="str">
        <f>MEMORIA_DE_CALCULO!B12</f>
        <v>COTAÇÃO 1.4</v>
      </c>
      <c r="C18" s="31" t="str">
        <f>MEMORIA_DE_CALCULO!C12</f>
        <v>Deslocamento e instalação dos equipamentos</v>
      </c>
      <c r="D18" s="55" t="str">
        <f>MEMORIA_DE_CALCULO!D12</f>
        <v>und</v>
      </c>
      <c r="E18" s="32">
        <f>MEMORIA_DE_CALCULO!E12</f>
        <v>1</v>
      </c>
      <c r="F18" s="33">
        <f>VLOOKUP(B18,COMPOSIÇÕES_UNITÁRIAS!$A$1:$AF$18857,8,)</f>
        <v>3000</v>
      </c>
      <c r="G18" s="33">
        <f t="shared" si="2"/>
        <v>3715.5</v>
      </c>
      <c r="H18" s="34">
        <f t="shared" si="3"/>
        <v>3000</v>
      </c>
      <c r="I18" s="34">
        <f t="shared" si="4"/>
        <v>3715.5</v>
      </c>
      <c r="K18" s="35">
        <f t="shared" si="5"/>
        <v>3715.5</v>
      </c>
      <c r="L18" s="35"/>
      <c r="M18" s="35"/>
      <c r="N18" s="29">
        <f t="shared" si="1"/>
        <v>0</v>
      </c>
    </row>
    <row r="19" spans="1:23" x14ac:dyDescent="0.2">
      <c r="A19" s="55" t="str">
        <f>MEMORIA_DE_CALCULO!A13</f>
        <v>1.5</v>
      </c>
      <c r="B19" s="55" t="str">
        <f>MEMORIA_DE_CALCULO!B13</f>
        <v>IFAL 1.6</v>
      </c>
      <c r="C19" s="31" t="str">
        <f>MEMORIA_DE_CALCULO!C13</f>
        <v>Projeto as buit</v>
      </c>
      <c r="D19" s="55" t="str">
        <f>MEMORIA_DE_CALCULO!D13</f>
        <v>und</v>
      </c>
      <c r="E19" s="32">
        <f>MEMORIA_DE_CALCULO!E13</f>
        <v>1</v>
      </c>
      <c r="F19" s="33">
        <f>VLOOKUP(B19,COMPOSIÇÕES_UNITÁRIAS!$A$1:$AF$18857,8,)</f>
        <v>257</v>
      </c>
      <c r="G19" s="33">
        <f t="shared" si="2"/>
        <v>318.29449999999997</v>
      </c>
      <c r="H19" s="34">
        <f t="shared" si="3"/>
        <v>257</v>
      </c>
      <c r="I19" s="34">
        <f t="shared" si="4"/>
        <v>318.29000000000002</v>
      </c>
      <c r="K19" s="35"/>
      <c r="L19" s="35"/>
      <c r="M19" s="35">
        <f>I19</f>
        <v>318.29000000000002</v>
      </c>
      <c r="N19" s="29">
        <f t="shared" si="1"/>
        <v>0</v>
      </c>
    </row>
    <row r="20" spans="1:23" x14ac:dyDescent="0.2">
      <c r="A20" s="55" t="str">
        <f>MEMORIA_DE_CALCULO!A14</f>
        <v>1.6</v>
      </c>
      <c r="B20" s="55" t="str">
        <f>MEMORIA_DE_CALCULO!B14</f>
        <v>IFAL 1.7</v>
      </c>
      <c r="C20" s="31" t="str">
        <f>MEMORIA_DE_CALCULO!C14</f>
        <v>Manual de uso e operação do serviço ou produto</v>
      </c>
      <c r="D20" s="55" t="str">
        <f>MEMORIA_DE_CALCULO!D14</f>
        <v>und</v>
      </c>
      <c r="E20" s="32">
        <f>MEMORIA_DE_CALCULO!E14</f>
        <v>1</v>
      </c>
      <c r="F20" s="33">
        <f>VLOOKUP(B20,COMPOSIÇÕES_UNITÁRIAS!$A$1:$AF$18857,8,)</f>
        <v>367.96</v>
      </c>
      <c r="G20" s="33">
        <f t="shared" si="2"/>
        <v>455.71845999999994</v>
      </c>
      <c r="H20" s="34">
        <f t="shared" si="3"/>
        <v>367.96</v>
      </c>
      <c r="I20" s="34">
        <f t="shared" si="4"/>
        <v>455.72</v>
      </c>
      <c r="K20" s="35"/>
      <c r="L20" s="35"/>
      <c r="M20" s="35">
        <f>I20</f>
        <v>455.72</v>
      </c>
      <c r="N20" s="29">
        <f t="shared" si="1"/>
        <v>0</v>
      </c>
    </row>
    <row r="21" spans="1:23" ht="15" x14ac:dyDescent="0.25">
      <c r="A21" s="36"/>
      <c r="B21" s="37"/>
      <c r="C21" s="38"/>
      <c r="D21" s="39"/>
      <c r="E21" s="40"/>
      <c r="F21" s="41"/>
      <c r="G21" s="41"/>
      <c r="H21" s="42"/>
      <c r="I21" s="42"/>
      <c r="K21" s="35"/>
      <c r="L21" s="43"/>
      <c r="M21" s="44"/>
      <c r="N21" s="29">
        <f t="shared" si="1"/>
        <v>0</v>
      </c>
    </row>
    <row r="22" spans="1:23" ht="15" x14ac:dyDescent="0.25">
      <c r="A22" s="20" t="s">
        <v>23</v>
      </c>
      <c r="B22" s="21" t="s">
        <v>23</v>
      </c>
      <c r="C22" s="22" t="s">
        <v>199</v>
      </c>
      <c r="D22" s="23"/>
      <c r="E22" s="46"/>
      <c r="F22" s="25"/>
      <c r="G22" s="25"/>
      <c r="H22" s="47">
        <f>ROUND(SUM(H23:H45),2)</f>
        <v>23857.919999999998</v>
      </c>
      <c r="I22" s="47">
        <f>ROUND(SUM(I23:I45),2)</f>
        <v>29548.05</v>
      </c>
      <c r="K22" s="27">
        <f>(SUM(K23:K46)/$I$22)</f>
        <v>0</v>
      </c>
      <c r="L22" s="27">
        <f>(SUM(L23:L46)/$I$22)</f>
        <v>1</v>
      </c>
      <c r="M22" s="27">
        <f>(SUM(M23:M46)/$I$22)</f>
        <v>0</v>
      </c>
      <c r="N22" s="28">
        <f>SUM(K22:M22)</f>
        <v>1</v>
      </c>
    </row>
    <row r="23" spans="1:23" x14ac:dyDescent="0.2">
      <c r="A23" s="30" t="str">
        <f>MEMORIA_DE_CALCULO!A17</f>
        <v>2.1</v>
      </c>
      <c r="B23" s="30" t="str">
        <f>MEMORIA_DE_CALCULO!B17</f>
        <v>COTAÇÃO 2.1</v>
      </c>
      <c r="C23" s="48" t="str">
        <f>MEMORIA_DE_CALCULO!C17</f>
        <v>Perfuração no diâmetro de 8.½”,  inclusive mão de obra.</v>
      </c>
      <c r="D23" s="30" t="str">
        <f>MEMORIA_DE_CALCULO!D17</f>
        <v>M</v>
      </c>
      <c r="E23" s="32">
        <f>MEMORIA_DE_CALCULO!E17</f>
        <v>40</v>
      </c>
      <c r="F23" s="33">
        <f>VLOOKUP(B23,COMPOSIÇÕES_UNITÁRIAS!$A$1:$AF$18857,8,)</f>
        <v>98.9</v>
      </c>
      <c r="G23" s="33">
        <f t="shared" ref="G23:G45" si="6">F23*(1+$I$10)</f>
        <v>122.48765</v>
      </c>
      <c r="H23" s="34">
        <f t="shared" ref="H23:H45" si="7">ROUND(F23*E23,2)</f>
        <v>3956</v>
      </c>
      <c r="I23" s="34">
        <f t="shared" ref="I23:I45" si="8">ROUND(G23*E23,2)</f>
        <v>4899.51</v>
      </c>
      <c r="K23" s="35"/>
      <c r="L23" s="35">
        <f>I23</f>
        <v>4899.51</v>
      </c>
      <c r="M23" s="35"/>
      <c r="N23" s="29">
        <f>SUM(K23:M23)-I23</f>
        <v>0</v>
      </c>
    </row>
    <row r="24" spans="1:23" x14ac:dyDescent="0.2">
      <c r="A24" s="55" t="str">
        <f>MEMORIA_DE_CALCULO!A18</f>
        <v>2.2</v>
      </c>
      <c r="B24" s="55" t="str">
        <f>MEMORIA_DE_CALCULO!B18</f>
        <v>COTAÇÃO 2.2</v>
      </c>
      <c r="C24" s="56" t="str">
        <f>MEMORIA_DE_CALCULO!C18</f>
        <v>Reabertura no diâmetro de 12.¼”, inclusive mão de obra.</v>
      </c>
      <c r="D24" s="55" t="str">
        <f>MEMORIA_DE_CALCULO!D18</f>
        <v>M</v>
      </c>
      <c r="E24" s="32">
        <f>MEMORIA_DE_CALCULO!E18</f>
        <v>40</v>
      </c>
      <c r="F24" s="33">
        <f>VLOOKUP(B24,COMPOSIÇÕES_UNITÁRIAS!$A$1:$AF$18857,8,)</f>
        <v>100</v>
      </c>
      <c r="G24" s="33">
        <f t="shared" si="6"/>
        <v>123.85</v>
      </c>
      <c r="H24" s="34">
        <f t="shared" si="7"/>
        <v>4000</v>
      </c>
      <c r="I24" s="34">
        <f t="shared" si="8"/>
        <v>4954</v>
      </c>
      <c r="K24" s="35"/>
      <c r="L24" s="35">
        <f t="shared" ref="L24:L45" si="9">I24</f>
        <v>4954</v>
      </c>
      <c r="M24" s="35"/>
      <c r="N24" s="29">
        <f t="shared" ref="N24:N45" si="10">SUM(K24:M24)-I24</f>
        <v>0</v>
      </c>
    </row>
    <row r="25" spans="1:23" ht="24" x14ac:dyDescent="0.2">
      <c r="A25" s="55" t="str">
        <f>MEMORIA_DE_CALCULO!A19</f>
        <v>2.3</v>
      </c>
      <c r="B25" s="55" t="str">
        <f>MEMORIA_DE_CALCULO!B19</f>
        <v>COTAÇÃO 2.3</v>
      </c>
      <c r="C25" s="56" t="str">
        <f>MEMORIA_DE_CALCULO!C19</f>
        <v>Fornecimento e instalação de tubos geomecânicos no diâmetro de 6”.</v>
      </c>
      <c r="D25" s="55" t="str">
        <f>MEMORIA_DE_CALCULO!D19</f>
        <v>M</v>
      </c>
      <c r="E25" s="32">
        <f>MEMORIA_DE_CALCULO!E19</f>
        <v>22</v>
      </c>
      <c r="F25" s="33">
        <f>VLOOKUP(B25,COMPOSIÇÕES_UNITÁRIAS!$A$1:$AF$18857,8,)</f>
        <v>121.3</v>
      </c>
      <c r="G25" s="33">
        <f t="shared" si="6"/>
        <v>150.23004999999998</v>
      </c>
      <c r="H25" s="34">
        <f t="shared" si="7"/>
        <v>2668.6</v>
      </c>
      <c r="I25" s="34">
        <f t="shared" si="8"/>
        <v>3305.06</v>
      </c>
      <c r="K25" s="35"/>
      <c r="L25" s="35">
        <f t="shared" si="9"/>
        <v>3305.06</v>
      </c>
      <c r="M25" s="35"/>
      <c r="N25" s="29">
        <f t="shared" si="10"/>
        <v>0</v>
      </c>
    </row>
    <row r="26" spans="1:23" ht="24" x14ac:dyDescent="0.2">
      <c r="A26" s="55" t="str">
        <f>MEMORIA_DE_CALCULO!A20</f>
        <v>2.4</v>
      </c>
      <c r="B26" s="55" t="str">
        <f>MEMORIA_DE_CALCULO!B20</f>
        <v>COTAÇÃO 2.4</v>
      </c>
      <c r="C26" s="56" t="str">
        <f>MEMORIA_DE_CALCULO!C20</f>
        <v>Fornecimento e instalação de filtros geomecânicos no diâmetro de 6”.</v>
      </c>
      <c r="D26" s="55" t="str">
        <f>MEMORIA_DE_CALCULO!D20</f>
        <v>M</v>
      </c>
      <c r="E26" s="32">
        <f>MEMORIA_DE_CALCULO!E20</f>
        <v>18</v>
      </c>
      <c r="F26" s="33">
        <f>VLOOKUP(B26,COMPOSIÇÕES_UNITÁRIAS!$A$1:$AF$18857,8,)</f>
        <v>129.80000000000001</v>
      </c>
      <c r="G26" s="33">
        <f t="shared" si="6"/>
        <v>160.75730000000001</v>
      </c>
      <c r="H26" s="34">
        <f t="shared" si="7"/>
        <v>2336.4</v>
      </c>
      <c r="I26" s="34">
        <f t="shared" si="8"/>
        <v>2893.63</v>
      </c>
      <c r="K26" s="35"/>
      <c r="L26" s="35">
        <f t="shared" si="9"/>
        <v>2893.63</v>
      </c>
      <c r="M26" s="35"/>
      <c r="N26" s="29">
        <f t="shared" si="10"/>
        <v>0</v>
      </c>
      <c r="W26" s="50"/>
    </row>
    <row r="27" spans="1:23" ht="24" x14ac:dyDescent="0.2">
      <c r="A27" s="55" t="str">
        <f>MEMORIA_DE_CALCULO!A21</f>
        <v>2.5</v>
      </c>
      <c r="B27" s="55" t="str">
        <f>MEMORIA_DE_CALCULO!B21</f>
        <v>COTAÇÃO 2.5</v>
      </c>
      <c r="C27" s="56" t="str">
        <f>MEMORIA_DE_CALCULO!C21</f>
        <v>Fornecimento e instalação de centralizadores em aço no diâmetro de 6” .</v>
      </c>
      <c r="D27" s="55" t="str">
        <f>MEMORIA_DE_CALCULO!D21</f>
        <v>PÇ</v>
      </c>
      <c r="E27" s="32">
        <f>MEMORIA_DE_CALCULO!E21</f>
        <v>2</v>
      </c>
      <c r="F27" s="33">
        <f>VLOOKUP(B27,COMPOSIÇÕES_UNITÁRIAS!$A$1:$AF$18857,8,)</f>
        <v>77</v>
      </c>
      <c r="G27" s="33">
        <f t="shared" si="6"/>
        <v>95.364499999999992</v>
      </c>
      <c r="H27" s="34">
        <f t="shared" si="7"/>
        <v>154</v>
      </c>
      <c r="I27" s="34">
        <f t="shared" si="8"/>
        <v>190.73</v>
      </c>
      <c r="K27" s="35"/>
      <c r="L27" s="35">
        <f t="shared" si="9"/>
        <v>190.73</v>
      </c>
      <c r="M27" s="35"/>
      <c r="N27" s="29">
        <f t="shared" si="10"/>
        <v>0</v>
      </c>
    </row>
    <row r="28" spans="1:23" x14ac:dyDescent="0.2">
      <c r="A28" s="55" t="str">
        <f>MEMORIA_DE_CALCULO!A22</f>
        <v>2.6</v>
      </c>
      <c r="B28" s="55" t="str">
        <f>MEMORIA_DE_CALCULO!B22</f>
        <v>COTAÇÃO 2.6</v>
      </c>
      <c r="C28" s="56" t="str">
        <f>MEMORIA_DE_CALCULO!C22</f>
        <v>Fornecimento e instalação de cascalho selecionado.</v>
      </c>
      <c r="D28" s="55" t="str">
        <f>MEMORIA_DE_CALCULO!D22</f>
        <v>M³</v>
      </c>
      <c r="E28" s="32">
        <f>MEMORIA_DE_CALCULO!E22</f>
        <v>1.5</v>
      </c>
      <c r="F28" s="33">
        <f>VLOOKUP(B28,COMPOSIÇÕES_UNITÁRIAS!$A$1:$AF$18857,8,)</f>
        <v>750</v>
      </c>
      <c r="G28" s="33">
        <f t="shared" si="6"/>
        <v>928.875</v>
      </c>
      <c r="H28" s="34">
        <f t="shared" si="7"/>
        <v>1125</v>
      </c>
      <c r="I28" s="34">
        <f t="shared" si="8"/>
        <v>1393.31</v>
      </c>
      <c r="K28" s="35"/>
      <c r="L28" s="35">
        <f t="shared" si="9"/>
        <v>1393.31</v>
      </c>
      <c r="M28" s="35"/>
      <c r="N28" s="29">
        <f t="shared" si="10"/>
        <v>0</v>
      </c>
    </row>
    <row r="29" spans="1:23" x14ac:dyDescent="0.2">
      <c r="A29" s="55" t="str">
        <f>MEMORIA_DE_CALCULO!A23</f>
        <v>2.7</v>
      </c>
      <c r="B29" s="55" t="str">
        <f>MEMORIA_DE_CALCULO!B23</f>
        <v>COTAÇÃO 2.7</v>
      </c>
      <c r="C29" s="56" t="str">
        <f>MEMORIA_DE_CALCULO!C23</f>
        <v>Desenvolvimento com compressor de ar.</v>
      </c>
      <c r="D29" s="55" t="str">
        <f>MEMORIA_DE_CALCULO!D23</f>
        <v>H</v>
      </c>
      <c r="E29" s="32">
        <f>MEMORIA_DE_CALCULO!E23</f>
        <v>24</v>
      </c>
      <c r="F29" s="33">
        <f>VLOOKUP(B29,COMPOSIÇÕES_UNITÁRIAS!$A$1:$AF$18857,8,)</f>
        <v>74.8</v>
      </c>
      <c r="G29" s="33">
        <f t="shared" si="6"/>
        <v>92.639799999999994</v>
      </c>
      <c r="H29" s="34">
        <f t="shared" si="7"/>
        <v>1795.2</v>
      </c>
      <c r="I29" s="34">
        <f t="shared" si="8"/>
        <v>2223.36</v>
      </c>
      <c r="K29" s="35"/>
      <c r="L29" s="35">
        <f t="shared" si="9"/>
        <v>2223.36</v>
      </c>
      <c r="M29" s="35"/>
      <c r="N29" s="29">
        <f t="shared" si="10"/>
        <v>0</v>
      </c>
    </row>
    <row r="30" spans="1:23" ht="24" x14ac:dyDescent="0.2">
      <c r="A30" s="55" t="str">
        <f>MEMORIA_DE_CALCULO!A24</f>
        <v>2.8</v>
      </c>
      <c r="B30" s="55" t="str">
        <f>MEMORIA_DE_CALCULO!B24</f>
        <v>COTAÇÃO 2.8</v>
      </c>
      <c r="C30" s="56" t="str">
        <f>MEMORIA_DE_CALCULO!C24</f>
        <v>Teste de bombeamento escalonado em etapas com bomba submersa para determinar vazão.</v>
      </c>
      <c r="D30" s="55" t="str">
        <f>MEMORIA_DE_CALCULO!D24</f>
        <v>H</v>
      </c>
      <c r="E30" s="32">
        <f>MEMORIA_DE_CALCULO!E24</f>
        <v>24</v>
      </c>
      <c r="F30" s="33">
        <f>VLOOKUP(B30,COMPOSIÇÕES_UNITÁRIAS!$A$1:$AF$18857,8,)</f>
        <v>74.8</v>
      </c>
      <c r="G30" s="33">
        <f t="shared" si="6"/>
        <v>92.639799999999994</v>
      </c>
      <c r="H30" s="34">
        <f t="shared" si="7"/>
        <v>1795.2</v>
      </c>
      <c r="I30" s="34">
        <f t="shared" si="8"/>
        <v>2223.36</v>
      </c>
      <c r="K30" s="35"/>
      <c r="L30" s="35">
        <f t="shared" si="9"/>
        <v>2223.36</v>
      </c>
      <c r="M30" s="35"/>
      <c r="N30" s="29">
        <f t="shared" si="10"/>
        <v>0</v>
      </c>
    </row>
    <row r="31" spans="1:23" s="51" customFormat="1" x14ac:dyDescent="0.2">
      <c r="A31" s="55" t="str">
        <f>MEMORIA_DE_CALCULO!A25</f>
        <v>2.9</v>
      </c>
      <c r="B31" s="55" t="str">
        <f>MEMORIA_DE_CALCULO!B25</f>
        <v>COTAÇÃO 2.9</v>
      </c>
      <c r="C31" s="56" t="str">
        <f>MEMORIA_DE_CALCULO!C25</f>
        <v>Fornecimento e instalação de hexametafosfato de sódio.</v>
      </c>
      <c r="D31" s="55" t="str">
        <f>MEMORIA_DE_CALCULO!D25</f>
        <v>KG</v>
      </c>
      <c r="E31" s="32">
        <f>MEMORIA_DE_CALCULO!E25</f>
        <v>15</v>
      </c>
      <c r="F31" s="33">
        <f>VLOOKUP(B31,COMPOSIÇÕES_UNITÁRIAS!$A$1:$AF$18857,8,)</f>
        <v>35</v>
      </c>
      <c r="G31" s="33">
        <f t="shared" si="6"/>
        <v>43.347499999999997</v>
      </c>
      <c r="H31" s="34">
        <f t="shared" si="7"/>
        <v>525</v>
      </c>
      <c r="I31" s="34">
        <f t="shared" si="8"/>
        <v>650.21</v>
      </c>
      <c r="K31" s="35"/>
      <c r="L31" s="35">
        <f t="shared" si="9"/>
        <v>650.21</v>
      </c>
      <c r="M31" s="35"/>
      <c r="N31" s="29">
        <f t="shared" si="10"/>
        <v>0</v>
      </c>
      <c r="O31" s="52"/>
    </row>
    <row r="32" spans="1:23" x14ac:dyDescent="0.2">
      <c r="A32" s="55" t="str">
        <f>MEMORIA_DE_CALCULO!A26</f>
        <v>2.10</v>
      </c>
      <c r="B32" s="55" t="str">
        <f>MEMORIA_DE_CALCULO!B26</f>
        <v>COTAÇÃO 2.10</v>
      </c>
      <c r="C32" s="56" t="str">
        <f>MEMORIA_DE_CALCULO!C26</f>
        <v>Proteção sanitária, cimentação inclusive mão de obra</v>
      </c>
      <c r="D32" s="55" t="str">
        <f>MEMORIA_DE_CALCULO!D26</f>
        <v>und</v>
      </c>
      <c r="E32" s="32">
        <f>MEMORIA_DE_CALCULO!E26</f>
        <v>1</v>
      </c>
      <c r="F32" s="33">
        <f>VLOOKUP(B32,COMPOSIÇÕES_UNITÁRIAS!$A$1:$AF$18857,8,)</f>
        <v>280</v>
      </c>
      <c r="G32" s="33">
        <f t="shared" si="6"/>
        <v>346.78</v>
      </c>
      <c r="H32" s="34">
        <f t="shared" si="7"/>
        <v>280</v>
      </c>
      <c r="I32" s="34">
        <f t="shared" si="8"/>
        <v>346.78</v>
      </c>
      <c r="K32" s="35"/>
      <c r="L32" s="35">
        <f t="shared" si="9"/>
        <v>346.78</v>
      </c>
      <c r="M32" s="35"/>
      <c r="N32" s="29">
        <f t="shared" si="10"/>
        <v>0</v>
      </c>
    </row>
    <row r="33" spans="1:23" ht="24" x14ac:dyDescent="0.2">
      <c r="A33" s="55" t="str">
        <f>MEMORIA_DE_CALCULO!A27</f>
        <v>2.11</v>
      </c>
      <c r="B33" s="55" t="str">
        <f>MEMORIA_DE_CALCULO!B27</f>
        <v>COTAÇÃO 2.11</v>
      </c>
      <c r="C33" s="56" t="str">
        <f>MEMORIA_DE_CALCULO!C27</f>
        <v>Fornecimento e instalação bomba submersa  4R5 PA 3 estágios 0,5Hp 380V.</v>
      </c>
      <c r="D33" s="55" t="str">
        <f>MEMORIA_DE_CALCULO!D27</f>
        <v>PÇ</v>
      </c>
      <c r="E33" s="32">
        <f>MEMORIA_DE_CALCULO!E27</f>
        <v>1</v>
      </c>
      <c r="F33" s="33">
        <f>VLOOKUP(B33,COMPOSIÇÕES_UNITÁRIAS!$A$1:$AF$18857,8,)</f>
        <v>2036.1</v>
      </c>
      <c r="G33" s="33">
        <f t="shared" si="6"/>
        <v>2521.7098499999997</v>
      </c>
      <c r="H33" s="34">
        <f t="shared" si="7"/>
        <v>2036.1</v>
      </c>
      <c r="I33" s="34">
        <f t="shared" si="8"/>
        <v>2521.71</v>
      </c>
      <c r="K33" s="35"/>
      <c r="L33" s="35">
        <f t="shared" si="9"/>
        <v>2521.71</v>
      </c>
      <c r="M33" s="35"/>
      <c r="N33" s="29">
        <f t="shared" si="10"/>
        <v>0</v>
      </c>
      <c r="W33" s="50"/>
    </row>
    <row r="34" spans="1:23" x14ac:dyDescent="0.2">
      <c r="A34" s="55" t="str">
        <f>MEMORIA_DE_CALCULO!A28</f>
        <v>2.12</v>
      </c>
      <c r="B34" s="55" t="str">
        <f>MEMORIA_DE_CALCULO!B28</f>
        <v>COTAÇÃO 2.12</v>
      </c>
      <c r="C34" s="56" t="str">
        <f>MEMORIA_DE_CALCULO!C28</f>
        <v>Fornecimento e instalação tubo PVC roscável de 1. ¼”.</v>
      </c>
      <c r="D34" s="55" t="str">
        <f>MEMORIA_DE_CALCULO!D28</f>
        <v>M</v>
      </c>
      <c r="E34" s="32">
        <f>MEMORIA_DE_CALCULO!E28</f>
        <v>38</v>
      </c>
      <c r="F34" s="33">
        <f>VLOOKUP(B34,COMPOSIÇÕES_UNITÁRIAS!$A$1:$AF$18857,8,)</f>
        <v>13.6</v>
      </c>
      <c r="G34" s="33">
        <f t="shared" si="6"/>
        <v>16.843599999999999</v>
      </c>
      <c r="H34" s="34">
        <f t="shared" si="7"/>
        <v>516.79999999999995</v>
      </c>
      <c r="I34" s="34">
        <f t="shared" si="8"/>
        <v>640.05999999999995</v>
      </c>
      <c r="K34" s="35"/>
      <c r="L34" s="35">
        <f t="shared" si="9"/>
        <v>640.05999999999995</v>
      </c>
      <c r="M34" s="35"/>
      <c r="N34" s="29">
        <f t="shared" si="10"/>
        <v>0</v>
      </c>
      <c r="W34" s="50"/>
    </row>
    <row r="35" spans="1:23" x14ac:dyDescent="0.2">
      <c r="A35" s="55" t="str">
        <f>MEMORIA_DE_CALCULO!A29</f>
        <v>2.13</v>
      </c>
      <c r="B35" s="55" t="str">
        <f>MEMORIA_DE_CALCULO!B29</f>
        <v>COTAÇÃO 2.13</v>
      </c>
      <c r="C35" s="56" t="str">
        <f>MEMORIA_DE_CALCULO!C29</f>
        <v>Fornecimento e instalação de luva galvanizada de 1. ¼” .</v>
      </c>
      <c r="D35" s="55" t="str">
        <f>MEMORIA_DE_CALCULO!D29</f>
        <v>PÇ</v>
      </c>
      <c r="E35" s="32">
        <f>MEMORIA_DE_CALCULO!E29</f>
        <v>10</v>
      </c>
      <c r="F35" s="33">
        <f>VLOOKUP(B35,COMPOSIÇÕES_UNITÁRIAS!$A$1:$AF$18857,8,)</f>
        <v>15.4</v>
      </c>
      <c r="G35" s="33">
        <f t="shared" si="6"/>
        <v>19.072900000000001</v>
      </c>
      <c r="H35" s="34">
        <f t="shared" si="7"/>
        <v>154</v>
      </c>
      <c r="I35" s="34">
        <f t="shared" si="8"/>
        <v>190.73</v>
      </c>
      <c r="K35" s="35"/>
      <c r="L35" s="35">
        <f t="shared" si="9"/>
        <v>190.73</v>
      </c>
      <c r="M35" s="35"/>
      <c r="N35" s="29">
        <f t="shared" si="10"/>
        <v>0</v>
      </c>
      <c r="W35" s="50"/>
    </row>
    <row r="36" spans="1:23" x14ac:dyDescent="0.2">
      <c r="A36" s="55" t="str">
        <f>MEMORIA_DE_CALCULO!A30</f>
        <v>2.14</v>
      </c>
      <c r="B36" s="55" t="str">
        <f>MEMORIA_DE_CALCULO!B30</f>
        <v>COTAÇÃO 2.14</v>
      </c>
      <c r="C36" s="56" t="str">
        <f>MEMORIA_DE_CALCULO!C30</f>
        <v>Fornecimento e instalação de curva PVC de 1. ¼”.</v>
      </c>
      <c r="D36" s="55" t="str">
        <f>MEMORIA_DE_CALCULO!D30</f>
        <v>PÇ</v>
      </c>
      <c r="E36" s="32">
        <f>MEMORIA_DE_CALCULO!E30</f>
        <v>1</v>
      </c>
      <c r="F36" s="33">
        <f>VLOOKUP(B36,COMPOSIÇÕES_UNITÁRIAS!$A$1:$AF$18857,8,)</f>
        <v>22</v>
      </c>
      <c r="G36" s="33">
        <f t="shared" si="6"/>
        <v>27.247</v>
      </c>
      <c r="H36" s="34">
        <f t="shared" si="7"/>
        <v>22</v>
      </c>
      <c r="I36" s="34">
        <f t="shared" si="8"/>
        <v>27.25</v>
      </c>
      <c r="K36" s="35"/>
      <c r="L36" s="35">
        <f t="shared" si="9"/>
        <v>27.25</v>
      </c>
      <c r="M36" s="35"/>
      <c r="N36" s="29">
        <f t="shared" si="10"/>
        <v>0</v>
      </c>
      <c r="W36" s="50"/>
    </row>
    <row r="37" spans="1:23" x14ac:dyDescent="0.2">
      <c r="A37" s="55" t="str">
        <f>MEMORIA_DE_CALCULO!A31</f>
        <v>2.15</v>
      </c>
      <c r="B37" s="55" t="str">
        <f>MEMORIA_DE_CALCULO!B31</f>
        <v>COTAÇÃO 2.15</v>
      </c>
      <c r="C37" s="56" t="str">
        <f>MEMORIA_DE_CALCULO!C31</f>
        <v>Fornecimento e instalação de corda de Nylon.</v>
      </c>
      <c r="D37" s="55" t="str">
        <f>MEMORIA_DE_CALCULO!D31</f>
        <v>KG</v>
      </c>
      <c r="E37" s="32">
        <f>MEMORIA_DE_CALCULO!E31</f>
        <v>5</v>
      </c>
      <c r="F37" s="33">
        <f>VLOOKUP(B37,COMPOSIÇÕES_UNITÁRIAS!$A$1:$AF$18857,8,)</f>
        <v>22.4</v>
      </c>
      <c r="G37" s="33">
        <f t="shared" si="6"/>
        <v>27.742399999999996</v>
      </c>
      <c r="H37" s="34">
        <f t="shared" si="7"/>
        <v>112</v>
      </c>
      <c r="I37" s="34">
        <f t="shared" si="8"/>
        <v>138.71</v>
      </c>
      <c r="K37" s="35"/>
      <c r="L37" s="35">
        <f t="shared" si="9"/>
        <v>138.71</v>
      </c>
      <c r="M37" s="35"/>
      <c r="N37" s="29">
        <f t="shared" si="10"/>
        <v>0</v>
      </c>
    </row>
    <row r="38" spans="1:23" x14ac:dyDescent="0.2">
      <c r="A38" s="55" t="str">
        <f>MEMORIA_DE_CALCULO!A32</f>
        <v>2.16</v>
      </c>
      <c r="B38" s="55" t="str">
        <f>MEMORIA_DE_CALCULO!B32</f>
        <v>COTAÇÃO 2.16</v>
      </c>
      <c r="C38" s="56" t="str">
        <f>MEMORIA_DE_CALCULO!C32</f>
        <v>Fornecimento e instalação de cabo elétrico de 3x1.5mm.</v>
      </c>
      <c r="D38" s="55" t="str">
        <f>MEMORIA_DE_CALCULO!D32</f>
        <v>M</v>
      </c>
      <c r="E38" s="32">
        <f>MEMORIA_DE_CALCULO!E32</f>
        <v>100</v>
      </c>
      <c r="F38" s="33">
        <f>VLOOKUP(B38,COMPOSIÇÕES_UNITÁRIAS!$A$1:$AF$18857,8,)</f>
        <v>4</v>
      </c>
      <c r="G38" s="33">
        <f t="shared" si="6"/>
        <v>4.9539999999999997</v>
      </c>
      <c r="H38" s="34">
        <f t="shared" si="7"/>
        <v>400</v>
      </c>
      <c r="I38" s="34">
        <f t="shared" si="8"/>
        <v>495.4</v>
      </c>
      <c r="K38" s="35"/>
      <c r="L38" s="35">
        <f t="shared" si="9"/>
        <v>495.4</v>
      </c>
      <c r="M38" s="35"/>
      <c r="N38" s="29">
        <f t="shared" si="10"/>
        <v>0</v>
      </c>
    </row>
    <row r="39" spans="1:23" x14ac:dyDescent="0.2">
      <c r="A39" s="55" t="str">
        <f>MEMORIA_DE_CALCULO!A33</f>
        <v>2.17</v>
      </c>
      <c r="B39" s="55" t="str">
        <f>MEMORIA_DE_CALCULO!B33</f>
        <v>COTAÇÃO 2.17</v>
      </c>
      <c r="C39" s="56" t="str">
        <f>MEMORIA_DE_CALCULO!C33</f>
        <v>Fornecimento e instalação de quadro de comando.</v>
      </c>
      <c r="D39" s="55" t="str">
        <f>MEMORIA_DE_CALCULO!D33</f>
        <v>PÇ</v>
      </c>
      <c r="E39" s="32">
        <f>MEMORIA_DE_CALCULO!E33</f>
        <v>1</v>
      </c>
      <c r="F39" s="33">
        <f>VLOOKUP(B39,COMPOSIÇÕES_UNITÁRIAS!$A$1:$AF$18857,8,)</f>
        <v>600</v>
      </c>
      <c r="G39" s="33">
        <f t="shared" si="6"/>
        <v>743.09999999999991</v>
      </c>
      <c r="H39" s="34">
        <f t="shared" si="7"/>
        <v>600</v>
      </c>
      <c r="I39" s="34">
        <f t="shared" si="8"/>
        <v>743.1</v>
      </c>
      <c r="K39" s="35"/>
      <c r="L39" s="35">
        <f t="shared" si="9"/>
        <v>743.1</v>
      </c>
      <c r="M39" s="35"/>
      <c r="N39" s="29">
        <f>SUM(K39:M39)-I39</f>
        <v>0</v>
      </c>
    </row>
    <row r="40" spans="1:23" x14ac:dyDescent="0.2">
      <c r="A40" s="55" t="str">
        <f>MEMORIA_DE_CALCULO!A34</f>
        <v>2.18</v>
      </c>
      <c r="B40" s="55" t="str">
        <f>MEMORIA_DE_CALCULO!B34</f>
        <v>COTAÇÃO 2.18</v>
      </c>
      <c r="C40" s="56" t="str">
        <f>MEMORIA_DE_CALCULO!C34</f>
        <v>Fornecimento e instalação de  isolantes.</v>
      </c>
      <c r="D40" s="55" t="str">
        <f>MEMORIA_DE_CALCULO!D34</f>
        <v>CONJ</v>
      </c>
      <c r="E40" s="32">
        <f>MEMORIA_DE_CALCULO!E34</f>
        <v>1</v>
      </c>
      <c r="F40" s="33">
        <f>VLOOKUP(B40,COMPOSIÇÕES_UNITÁRIAS!$A$1:$AF$18857,8,)</f>
        <v>65</v>
      </c>
      <c r="G40" s="33">
        <f t="shared" si="6"/>
        <v>80.502499999999998</v>
      </c>
      <c r="H40" s="34">
        <f t="shared" si="7"/>
        <v>65</v>
      </c>
      <c r="I40" s="34">
        <f t="shared" si="8"/>
        <v>80.5</v>
      </c>
      <c r="K40" s="35"/>
      <c r="L40" s="35">
        <f t="shared" si="9"/>
        <v>80.5</v>
      </c>
      <c r="M40" s="35"/>
      <c r="N40" s="29">
        <f t="shared" si="10"/>
        <v>0</v>
      </c>
    </row>
    <row r="41" spans="1:23" x14ac:dyDescent="0.2">
      <c r="A41" s="55" t="str">
        <f>MEMORIA_DE_CALCULO!A35</f>
        <v>2.19</v>
      </c>
      <c r="B41" s="55" t="str">
        <f>MEMORIA_DE_CALCULO!B35</f>
        <v>COTAÇÃO 2.19</v>
      </c>
      <c r="C41" s="56" t="str">
        <f>MEMORIA_DE_CALCULO!C35</f>
        <v>Fornecimento e instalação de tampa do poço.</v>
      </c>
      <c r="D41" s="55" t="str">
        <f>MEMORIA_DE_CALCULO!D35</f>
        <v>UND</v>
      </c>
      <c r="E41" s="32">
        <f>MEMORIA_DE_CALCULO!E35</f>
        <v>1</v>
      </c>
      <c r="F41" s="33">
        <f>VLOOKUP(B41,COMPOSIÇÕES_UNITÁRIAS!$A$1:$AF$18857,8,)</f>
        <v>80</v>
      </c>
      <c r="G41" s="33">
        <f t="shared" si="6"/>
        <v>99.08</v>
      </c>
      <c r="H41" s="34">
        <f t="shared" si="7"/>
        <v>80</v>
      </c>
      <c r="I41" s="34">
        <f t="shared" si="8"/>
        <v>99.08</v>
      </c>
      <c r="K41" s="35"/>
      <c r="L41" s="35">
        <f t="shared" si="9"/>
        <v>99.08</v>
      </c>
      <c r="M41" s="35"/>
      <c r="N41" s="29">
        <f t="shared" si="10"/>
        <v>0</v>
      </c>
    </row>
    <row r="42" spans="1:23" ht="24" x14ac:dyDescent="0.2">
      <c r="A42" s="55" t="str">
        <f>MEMORIA_DE_CALCULO!A36</f>
        <v>2.20</v>
      </c>
      <c r="B42" s="55" t="str">
        <f>MEMORIA_DE_CALCULO!B36</f>
        <v>COTAÇÃO 2.20</v>
      </c>
      <c r="C42" s="56" t="str">
        <f>MEMORIA_DE_CALCULO!C36</f>
        <v>Fornecimento e instalação de válvula de retenção horizontal 1. ¼”.</v>
      </c>
      <c r="D42" s="55" t="str">
        <f>MEMORIA_DE_CALCULO!D36</f>
        <v>PÇ</v>
      </c>
      <c r="E42" s="32">
        <f>MEMORIA_DE_CALCULO!E36</f>
        <v>1</v>
      </c>
      <c r="F42" s="33">
        <f>VLOOKUP(B42,COMPOSIÇÕES_UNITÁRIAS!$A$1:$AF$18857,8,)</f>
        <v>140</v>
      </c>
      <c r="G42" s="33">
        <f t="shared" si="6"/>
        <v>173.39</v>
      </c>
      <c r="H42" s="34">
        <f t="shared" si="7"/>
        <v>140</v>
      </c>
      <c r="I42" s="34">
        <f t="shared" si="8"/>
        <v>173.39</v>
      </c>
      <c r="K42" s="35"/>
      <c r="L42" s="35">
        <f t="shared" si="9"/>
        <v>173.39</v>
      </c>
      <c r="M42" s="35"/>
      <c r="N42" s="29">
        <f t="shared" si="10"/>
        <v>0</v>
      </c>
    </row>
    <row r="43" spans="1:23" ht="24" x14ac:dyDescent="0.2">
      <c r="A43" s="55" t="str">
        <f>MEMORIA_DE_CALCULO!A37</f>
        <v>2.21</v>
      </c>
      <c r="B43" s="55" t="str">
        <f>MEMORIA_DE_CALCULO!B37</f>
        <v>COTAÇÃO 2.21</v>
      </c>
      <c r="C43" s="56" t="str">
        <f>MEMORIA_DE_CALCULO!C37</f>
        <v>Fornecimento e instalação de taxas do Crea/Cau e Semah.</v>
      </c>
      <c r="D43" s="55" t="str">
        <f>MEMORIA_DE_CALCULO!D37</f>
        <v>CONJ</v>
      </c>
      <c r="E43" s="32">
        <f>MEMORIA_DE_CALCULO!E37</f>
        <v>1</v>
      </c>
      <c r="F43" s="33">
        <f>VLOOKUP(B43,COMPOSIÇÕES_UNITÁRIAS!$A$1:$AF$18857,8,)</f>
        <v>600</v>
      </c>
      <c r="G43" s="33">
        <f t="shared" si="6"/>
        <v>743.09999999999991</v>
      </c>
      <c r="H43" s="34">
        <f t="shared" si="7"/>
        <v>600</v>
      </c>
      <c r="I43" s="34">
        <f t="shared" si="8"/>
        <v>743.1</v>
      </c>
      <c r="K43" s="35"/>
      <c r="L43" s="35">
        <f t="shared" si="9"/>
        <v>743.1</v>
      </c>
      <c r="M43" s="35"/>
      <c r="N43" s="29">
        <f t="shared" si="10"/>
        <v>0</v>
      </c>
    </row>
    <row r="44" spans="1:23" x14ac:dyDescent="0.2">
      <c r="A44" s="55" t="str">
        <f>MEMORIA_DE_CALCULO!A38</f>
        <v>2.22</v>
      </c>
      <c r="B44" s="55" t="str">
        <f>MEMORIA_DE_CALCULO!B38</f>
        <v>COTAÇÃO 2.22</v>
      </c>
      <c r="C44" s="56" t="str">
        <f>MEMORIA_DE_CALCULO!C38</f>
        <v>Fornecimento e instalação de hidrômetro.</v>
      </c>
      <c r="D44" s="55" t="str">
        <f>MEMORIA_DE_CALCULO!D38</f>
        <v>PÇ</v>
      </c>
      <c r="E44" s="32">
        <f>MEMORIA_DE_CALCULO!E38</f>
        <v>1</v>
      </c>
      <c r="F44" s="33">
        <f>VLOOKUP(B44,COMPOSIÇÕES_UNITÁRIAS!$A$1:$AF$18857,8,)</f>
        <v>400</v>
      </c>
      <c r="G44" s="33">
        <f t="shared" si="6"/>
        <v>495.4</v>
      </c>
      <c r="H44" s="34">
        <f t="shared" si="7"/>
        <v>400</v>
      </c>
      <c r="I44" s="34">
        <f t="shared" si="8"/>
        <v>495.4</v>
      </c>
      <c r="K44" s="35"/>
      <c r="L44" s="35">
        <f t="shared" si="9"/>
        <v>495.4</v>
      </c>
      <c r="M44" s="35"/>
      <c r="N44" s="29">
        <f t="shared" si="10"/>
        <v>0</v>
      </c>
    </row>
    <row r="45" spans="1:23" ht="24" x14ac:dyDescent="0.2">
      <c r="A45" s="55" t="str">
        <f>MEMORIA_DE_CALCULO!A39</f>
        <v>2.23</v>
      </c>
      <c r="B45" s="55" t="str">
        <f>MEMORIA_DE_CALCULO!B39</f>
        <v>11682/ORSE</v>
      </c>
      <c r="C45" s="56" t="str">
        <f>MEMORIA_DE_CALCULO!C39</f>
        <v xml:space="preserve"> Laje de Proteção do Poço em concreto simples fabricado na obra, fck=21 mpa lançado e adensado</v>
      </c>
      <c r="D45" s="55" t="str">
        <f>MEMORIA_DE_CALCULO!D39</f>
        <v>m³</v>
      </c>
      <c r="E45" s="32">
        <f>MEMORIA_DE_CALCULO!E39</f>
        <v>0.24</v>
      </c>
      <c r="F45" s="33">
        <f>VLOOKUP(B45,COMPOSIÇÕES_UNITÁRIAS!$A$1:$AF$18857,8,)</f>
        <v>402.6</v>
      </c>
      <c r="G45" s="33">
        <f t="shared" si="6"/>
        <v>498.62009999999998</v>
      </c>
      <c r="H45" s="34">
        <f t="shared" si="7"/>
        <v>96.62</v>
      </c>
      <c r="I45" s="34">
        <f t="shared" si="8"/>
        <v>119.67</v>
      </c>
      <c r="K45" s="35"/>
      <c r="L45" s="35">
        <f t="shared" si="9"/>
        <v>119.67</v>
      </c>
      <c r="M45" s="35"/>
      <c r="N45" s="29">
        <f t="shared" si="10"/>
        <v>0</v>
      </c>
    </row>
    <row r="46" spans="1:23" s="179" customFormat="1" x14ac:dyDescent="0.2">
      <c r="A46" s="249"/>
      <c r="B46" s="249"/>
      <c r="C46" s="248"/>
      <c r="D46" s="249"/>
      <c r="E46" s="238"/>
      <c r="F46" s="239"/>
      <c r="G46" s="239"/>
      <c r="H46" s="247"/>
      <c r="I46" s="247"/>
      <c r="K46" s="246"/>
      <c r="L46" s="246"/>
      <c r="M46" s="246"/>
      <c r="N46" s="245"/>
      <c r="O46" s="244"/>
    </row>
    <row r="47" spans="1:23" ht="15" x14ac:dyDescent="0.25">
      <c r="A47" s="20" t="s">
        <v>24</v>
      </c>
      <c r="B47" s="21" t="s">
        <v>24</v>
      </c>
      <c r="C47" s="22" t="s">
        <v>26</v>
      </c>
      <c r="D47" s="23"/>
      <c r="E47" s="46"/>
      <c r="F47" s="25"/>
      <c r="G47" s="25"/>
      <c r="H47" s="47">
        <f>ROUND(SUM(H48:H49),2)</f>
        <v>6300</v>
      </c>
      <c r="I47" s="47">
        <f>ROUND(SUM(I48:I49),2)</f>
        <v>7802.55</v>
      </c>
      <c r="K47" s="27">
        <f>(SUM(K48:K49)/$I$47)</f>
        <v>7.9365079365079361E-2</v>
      </c>
      <c r="L47" s="27">
        <f t="shared" ref="L47:M47" si="11">(SUM(L48:L49)/$I$47)</f>
        <v>0</v>
      </c>
      <c r="M47" s="27">
        <f t="shared" si="11"/>
        <v>0.92063492063492058</v>
      </c>
      <c r="N47" s="28">
        <f>SUM(K47:M47)</f>
        <v>1</v>
      </c>
    </row>
    <row r="48" spans="1:23" ht="68.25" customHeight="1" x14ac:dyDescent="0.2">
      <c r="A48" s="54" t="str">
        <f>MEMORIA_DE_CALCULO!A43</f>
        <v>3.1</v>
      </c>
      <c r="B48" s="54" t="str">
        <f>MEMORIA_DE_CALCULO!B43</f>
        <v>COTAÇÃO 3.1</v>
      </c>
      <c r="C48" s="54" t="str">
        <f>MEMORIA_DE_CALCULO!C43</f>
        <v>Interligação do poço a executar com o reservatório existente(cerca de 60m entre eles), incluindo todos os serviços e itens relacionados à escavação, ao aterro, à tubulação, aos acessórios, às conexões, bombas, sistemas elétricos e quaisquer outros que se mostrem necessários para a perfeita execução e funcionamento dos serviços, inclusive mão de obra.</v>
      </c>
      <c r="D48" s="54" t="str">
        <f>MEMORIA_DE_CALCULO!D43</f>
        <v>UND</v>
      </c>
      <c r="E48" s="54">
        <f>MEMORIA_DE_CALCULO!E43</f>
        <v>1</v>
      </c>
      <c r="F48" s="33">
        <f>VLOOKUP(B48,COMPOSIÇÕES_UNITÁRIAS!$A$1:$AF$18857,8,)</f>
        <v>3800</v>
      </c>
      <c r="G48" s="33">
        <f t="shared" ref="G48:G49" si="12">F48*(1+$I$10)</f>
        <v>4706.3</v>
      </c>
      <c r="H48" s="34">
        <f>ROUND(F48*E48,2)</f>
        <v>3800</v>
      </c>
      <c r="I48" s="34">
        <f>ROUND(G48*E48,2)</f>
        <v>4706.3</v>
      </c>
      <c r="K48" s="53"/>
      <c r="L48" s="53"/>
      <c r="M48" s="53">
        <f>I48</f>
        <v>4706.3</v>
      </c>
      <c r="N48" s="29">
        <f>SUM(K48:M48)-I48</f>
        <v>0</v>
      </c>
    </row>
    <row r="49" spans="1:22" s="114" customFormat="1" ht="68.25" customHeight="1" x14ac:dyDescent="0.2">
      <c r="A49" s="54" t="str">
        <f>MEMORIA_DE_CALCULO!A44</f>
        <v>3.2</v>
      </c>
      <c r="B49" s="54" t="str">
        <f>MEMORIA_DE_CALCULO!B44</f>
        <v>COTAÇÃO 3.2</v>
      </c>
      <c r="C49" s="54" t="str">
        <f>MEMORIA_DE_CALCULO!C44</f>
        <v>Outorga do direito do uso da água. Relatório Técnico em três vias para a solicitação de Outorga do Direito de Uso da Água, junto à Secretaria de Meio Ambiente Recurso Hídricos e Naturais, atendendo as exigências da Lei Estadual nº 5.965 de 10 de novembro de 1997, em consonância com a Lei Federal 9.433.</v>
      </c>
      <c r="D49" s="54" t="str">
        <f>MEMORIA_DE_CALCULO!D44</f>
        <v>und</v>
      </c>
      <c r="E49" s="54">
        <f>MEMORIA_DE_CALCULO!E44</f>
        <v>1</v>
      </c>
      <c r="F49" s="33">
        <f>VLOOKUP(B49,COMPOSIÇÕES_UNITÁRIAS!$A$1:$AF$18857,8,)</f>
        <v>2500</v>
      </c>
      <c r="G49" s="33">
        <f t="shared" si="12"/>
        <v>3096.25</v>
      </c>
      <c r="H49" s="34">
        <f>ROUND(F49*E49,2)</f>
        <v>2500</v>
      </c>
      <c r="I49" s="34">
        <f>ROUND(G49*E49,2)</f>
        <v>3096.25</v>
      </c>
      <c r="K49" s="29">
        <f>I49*0.2</f>
        <v>619.25</v>
      </c>
      <c r="L49" s="29"/>
      <c r="M49" s="29">
        <f>I49*0.8</f>
        <v>2477</v>
      </c>
      <c r="N49" s="29"/>
      <c r="O49" s="213"/>
    </row>
    <row r="50" spans="1:22" x14ac:dyDescent="0.2">
      <c r="A50" s="57"/>
      <c r="B50" s="57"/>
      <c r="C50" s="57"/>
      <c r="D50" s="59"/>
      <c r="E50" s="60"/>
      <c r="F50" s="45"/>
      <c r="G50" s="45"/>
      <c r="H50" s="58"/>
      <c r="I50" s="58"/>
      <c r="K50" s="29"/>
      <c r="L50" s="29"/>
      <c r="M50" s="29"/>
      <c r="N50" s="29"/>
      <c r="V50" s="50"/>
    </row>
    <row r="51" spans="1:22" ht="15" x14ac:dyDescent="0.25">
      <c r="A51" s="20" t="s">
        <v>25</v>
      </c>
      <c r="B51" s="21" t="s">
        <v>25</v>
      </c>
      <c r="C51" s="22" t="s">
        <v>27</v>
      </c>
      <c r="D51" s="23"/>
      <c r="E51" s="24"/>
      <c r="F51" s="25"/>
      <c r="G51" s="25"/>
      <c r="H51" s="47">
        <f>ROUND(SUM(H52:H52),2)</f>
        <v>1027.22</v>
      </c>
      <c r="I51" s="47">
        <f>ROUND(SUM(I52:I52),2)</f>
        <v>1272.21</v>
      </c>
      <c r="K51" s="27">
        <f>SUM(K52:K53)/$I51</f>
        <v>0.14775053064830557</v>
      </c>
      <c r="L51" s="27">
        <f t="shared" ref="L51:M51" si="13">SUM(L52:L53)/$I51</f>
        <v>0.67143229482072253</v>
      </c>
      <c r="M51" s="27">
        <f t="shared" si="13"/>
        <v>0.1808171745309719</v>
      </c>
      <c r="N51" s="28">
        <f>SUM(K51:M51)</f>
        <v>1</v>
      </c>
    </row>
    <row r="52" spans="1:22" x14ac:dyDescent="0.2">
      <c r="A52" s="54" t="str">
        <f>MEMORIA_DE_CALCULO!A47</f>
        <v>4.1</v>
      </c>
      <c r="B52" s="54" t="str">
        <f>MEMORIA_DE_CALCULO!B47</f>
        <v>IFAL 4.1</v>
      </c>
      <c r="C52" s="56" t="str">
        <f>MEMORIA_DE_CALCULO!C47</f>
        <v>ADMINISTRAÇÃO LOCAL E MANUTENÇÃO DO CANTEIRO</v>
      </c>
      <c r="D52" s="55" t="str">
        <f>MEMORIA_DE_CALCULO!D47</f>
        <v>und</v>
      </c>
      <c r="E52" s="32">
        <f>MEMORIA_DE_CALCULO!E47</f>
        <v>1</v>
      </c>
      <c r="F52" s="33">
        <f>VLOOKUP(B52,COMPOSIÇÕES_UNITÁRIAS!$A$1:$AF$18857,8,)</f>
        <v>1027.22</v>
      </c>
      <c r="G52" s="33">
        <f t="shared" ref="G52" si="14">F52*(1+$I$10)</f>
        <v>1272.2119700000001</v>
      </c>
      <c r="H52" s="34">
        <f>ROUND(F52*E52,2)</f>
        <v>1027.22</v>
      </c>
      <c r="I52" s="34">
        <f>ROUND(G52*E52,2)</f>
        <v>1272.21</v>
      </c>
      <c r="K52" s="29">
        <f>K57*$I52</f>
        <v>187.96970259608082</v>
      </c>
      <c r="L52" s="29">
        <f>L57*$I52</f>
        <v>854.20287979387149</v>
      </c>
      <c r="M52" s="29">
        <f>M57*$I52</f>
        <v>230.03741761004778</v>
      </c>
      <c r="N52" s="29">
        <f>SUM(K52:M52)-I52</f>
        <v>0</v>
      </c>
      <c r="O52" s="14" t="s">
        <v>28</v>
      </c>
    </row>
    <row r="53" spans="1:22" ht="15" x14ac:dyDescent="0.25">
      <c r="A53" s="61"/>
      <c r="B53" s="62"/>
      <c r="C53" s="63"/>
      <c r="D53" s="64"/>
      <c r="E53" s="40"/>
      <c r="F53" s="65"/>
      <c r="G53" s="65"/>
      <c r="H53" s="66"/>
      <c r="I53" s="66"/>
      <c r="K53" s="43"/>
      <c r="L53" s="43"/>
      <c r="M53" s="44"/>
      <c r="N53" s="29"/>
    </row>
    <row r="54" spans="1:22" ht="15" x14ac:dyDescent="0.2">
      <c r="A54" s="67"/>
      <c r="B54" s="68"/>
      <c r="C54" s="191" t="s">
        <v>196</v>
      </c>
      <c r="D54" s="192"/>
      <c r="E54" s="69"/>
      <c r="F54" s="70"/>
      <c r="G54" s="281"/>
      <c r="H54" s="282">
        <f>SUM(H51+H47+H22+H14)</f>
        <v>36560.1</v>
      </c>
      <c r="I54" s="282">
        <f>SUM(I51+I47+I22+I14)</f>
        <v>45279.7</v>
      </c>
      <c r="K54" s="70">
        <f>K51*$I51+K47*$I47+K22*$I22+K14*$I14</f>
        <v>6690.0997025960805</v>
      </c>
      <c r="L54" s="70">
        <f>L51*$I51+L47*$I47+L22*$I22+L14*$I14</f>
        <v>30402.252879793872</v>
      </c>
      <c r="M54" s="70">
        <f t="shared" ref="M54" si="15">M51*$I51+M47*$I47+M22*$I22+M14*$I14</f>
        <v>8187.3474176100481</v>
      </c>
      <c r="N54" s="28">
        <f>SUM(K54:M54)/I54</f>
        <v>1.0000000000000002</v>
      </c>
    </row>
    <row r="55" spans="1:22" s="179" customFormat="1" x14ac:dyDescent="0.2">
      <c r="A55" s="183"/>
      <c r="B55" s="184"/>
      <c r="C55" s="185"/>
      <c r="D55" s="185"/>
      <c r="E55" s="186"/>
      <c r="F55" s="187"/>
      <c r="G55" s="187"/>
      <c r="H55" s="187"/>
      <c r="I55" s="188"/>
      <c r="K55" s="17" t="s">
        <v>29</v>
      </c>
      <c r="L55" s="189"/>
      <c r="O55" s="190"/>
    </row>
    <row r="56" spans="1:22" x14ac:dyDescent="0.2">
      <c r="A56" s="71"/>
      <c r="F56" s="16"/>
      <c r="G56" s="83"/>
      <c r="K56" s="70">
        <f>K47*$I47+K22*$I22+K14*$I14</f>
        <v>6502.13</v>
      </c>
      <c r="L56" s="70">
        <f t="shared" ref="L56:N56" si="16">L47*$I47+L22*$I22+L14*$I14</f>
        <v>29548.05</v>
      </c>
      <c r="M56" s="70">
        <f t="shared" si="16"/>
        <v>7957.31</v>
      </c>
      <c r="N56" s="70">
        <f t="shared" si="16"/>
        <v>44007.49</v>
      </c>
    </row>
    <row r="57" spans="1:22" ht="15" x14ac:dyDescent="0.25">
      <c r="F57" s="16"/>
      <c r="G57" s="83"/>
      <c r="H57" s="72"/>
      <c r="I57" s="72"/>
      <c r="K57" s="44">
        <f>K56/$N$56</f>
        <v>0.14775053064830557</v>
      </c>
      <c r="L57" s="44">
        <f>L56/$N$56</f>
        <v>0.67143229482072253</v>
      </c>
      <c r="M57" s="44">
        <f>M56/$N$56</f>
        <v>0.1808171745309719</v>
      </c>
      <c r="N57" s="44"/>
    </row>
    <row r="58" spans="1:22" ht="15" x14ac:dyDescent="0.25">
      <c r="B58" s="6" t="s">
        <v>201</v>
      </c>
      <c r="F58" s="73"/>
      <c r="G58" s="73"/>
      <c r="H58" s="72"/>
      <c r="I58" s="72"/>
      <c r="K58" s="74"/>
      <c r="L58" s="75"/>
      <c r="M58" s="75"/>
      <c r="N58" s="76"/>
    </row>
    <row r="59" spans="1:22" ht="15" x14ac:dyDescent="0.25">
      <c r="I59" s="166"/>
      <c r="K59" s="74"/>
      <c r="L59" s="75"/>
      <c r="M59" s="75"/>
      <c r="N59" s="76"/>
    </row>
    <row r="60" spans="1:22" x14ac:dyDescent="0.2">
      <c r="H60" s="327"/>
      <c r="N60" s="76"/>
    </row>
    <row r="61" spans="1:22" ht="15.75" x14ac:dyDescent="0.2">
      <c r="C61" s="10" t="s">
        <v>2</v>
      </c>
      <c r="D61" s="77"/>
      <c r="F61" s="278"/>
      <c r="G61" s="278" t="s">
        <v>202</v>
      </c>
      <c r="K61" s="78"/>
    </row>
    <row r="62" spans="1:22" x14ac:dyDescent="0.2">
      <c r="C62" s="79" t="s">
        <v>3</v>
      </c>
      <c r="D62" s="80"/>
      <c r="F62" s="79"/>
      <c r="G62" s="79" t="s">
        <v>203</v>
      </c>
    </row>
    <row r="63" spans="1:22" x14ac:dyDescent="0.2">
      <c r="C63" s="79" t="s">
        <v>4</v>
      </c>
      <c r="D63" s="80"/>
      <c r="E63" s="81"/>
      <c r="F63" s="79"/>
      <c r="G63" s="79" t="s">
        <v>204</v>
      </c>
      <c r="H63" s="83"/>
    </row>
    <row r="64" spans="1:22" x14ac:dyDescent="0.2">
      <c r="C64" s="79" t="s">
        <v>5</v>
      </c>
      <c r="D64" s="84"/>
      <c r="E64" s="85"/>
      <c r="F64" s="86"/>
      <c r="G64" s="79" t="s">
        <v>205</v>
      </c>
      <c r="H64" s="83"/>
    </row>
  </sheetData>
  <mergeCells count="12">
    <mergeCell ref="A9:I9"/>
    <mergeCell ref="A8:I8"/>
    <mergeCell ref="A12:A13"/>
    <mergeCell ref="B12:B13"/>
    <mergeCell ref="C12:C13"/>
    <mergeCell ref="D12:D13"/>
    <mergeCell ref="E12:E13"/>
    <mergeCell ref="N12:N13"/>
    <mergeCell ref="K12:K13"/>
    <mergeCell ref="L12:L13"/>
    <mergeCell ref="M12:M13"/>
    <mergeCell ref="F12:I12"/>
  </mergeCells>
  <printOptions horizontalCentered="1"/>
  <pageMargins left="0.98402777777777795" right="0.39374999999999999" top="1.37777777777778" bottom="0.98402777777777795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3" zoomScaleNormal="100" workbookViewId="0">
      <selection activeCell="F50" sqref="F50:F53"/>
    </sheetView>
  </sheetViews>
  <sheetFormatPr defaultRowHeight="15" x14ac:dyDescent="0.25"/>
  <cols>
    <col min="1" max="1" width="7" style="87" customWidth="1"/>
    <col min="2" max="2" width="11.5" style="88" customWidth="1"/>
    <col min="3" max="3" width="41" style="87" customWidth="1"/>
    <col min="4" max="4" width="5.75" style="87" customWidth="1"/>
    <col min="5" max="5" width="8.875" style="87" customWidth="1"/>
    <col min="6" max="6" width="51.5" style="87" customWidth="1"/>
    <col min="7" max="7" width="57.875" customWidth="1"/>
    <col min="8" max="8" width="17" customWidth="1"/>
    <col min="9" max="9" width="15.125" customWidth="1"/>
    <col min="10" max="10" width="11.5"/>
    <col min="11" max="12" width="8.75" customWidth="1"/>
    <col min="13" max="13" width="10.625" customWidth="1"/>
    <col min="14" max="14" width="8.75" customWidth="1"/>
    <col min="15" max="15" width="11.875" customWidth="1"/>
    <col min="16" max="1022" width="8.75" customWidth="1"/>
  </cols>
  <sheetData>
    <row r="1" spans="1:6" x14ac:dyDescent="0.25">
      <c r="F1" s="89"/>
    </row>
    <row r="2" spans="1:6" x14ac:dyDescent="0.25">
      <c r="F2" s="89"/>
    </row>
    <row r="3" spans="1:6" x14ac:dyDescent="0.25">
      <c r="F3" s="89"/>
    </row>
    <row r="4" spans="1:6" x14ac:dyDescent="0.25">
      <c r="F4" s="89"/>
    </row>
    <row r="5" spans="1:6" ht="21" x14ac:dyDescent="0.2">
      <c r="A5" s="299" t="s">
        <v>30</v>
      </c>
      <c r="B5" s="299"/>
      <c r="C5" s="299"/>
      <c r="D5" s="299"/>
      <c r="E5" s="299"/>
      <c r="F5" s="299"/>
    </row>
    <row r="6" spans="1:6" ht="98.25" customHeight="1" x14ac:dyDescent="0.2">
      <c r="A6" s="305" t="str">
        <f>PLANILHA_UNIFICADA!A9</f>
        <v>Perfuração de poço no Campus Maragogi com interligação ao poço existente no regime de execução indireta, empreitada por Preço Unitário 
(latitute 8º 55'21'' e longitude 35º 9'31'')
Endereço: Rodovia AL 101 Norte, Assentamento Nova Jerusalém Bairro Peroba.
Maragogi-AL - CEP 57955-000</v>
      </c>
      <c r="B6" s="305"/>
      <c r="C6" s="305"/>
      <c r="D6" s="305"/>
      <c r="E6" s="305"/>
      <c r="F6" s="305"/>
    </row>
    <row r="7" spans="1:6" ht="18.75" x14ac:dyDescent="0.2">
      <c r="A7" s="90"/>
      <c r="B7" s="91"/>
      <c r="C7" s="90"/>
      <c r="D7" s="90"/>
      <c r="E7" s="90"/>
      <c r="F7" s="90"/>
    </row>
    <row r="8" spans="1:6" x14ac:dyDescent="0.25">
      <c r="A8" s="20" t="s">
        <v>31</v>
      </c>
      <c r="B8" s="92"/>
      <c r="C8" s="23"/>
      <c r="D8" s="93" t="s">
        <v>32</v>
      </c>
      <c r="E8" s="23"/>
      <c r="F8" s="94"/>
    </row>
    <row r="9" spans="1:6" ht="38.25" customHeight="1" x14ac:dyDescent="0.2">
      <c r="A9" s="95" t="s">
        <v>20</v>
      </c>
      <c r="B9" s="96" t="s">
        <v>162</v>
      </c>
      <c r="C9" s="101" t="s">
        <v>93</v>
      </c>
      <c r="D9" s="98" t="s">
        <v>35</v>
      </c>
      <c r="E9" s="99">
        <v>1</v>
      </c>
      <c r="F9" s="310" t="s">
        <v>148</v>
      </c>
    </row>
    <row r="10" spans="1:6" ht="14.25" x14ac:dyDescent="0.2">
      <c r="A10" s="96" t="s">
        <v>21</v>
      </c>
      <c r="B10" s="96" t="s">
        <v>163</v>
      </c>
      <c r="C10" s="101" t="s">
        <v>95</v>
      </c>
      <c r="D10" s="98" t="s">
        <v>35</v>
      </c>
      <c r="E10" s="99">
        <v>1</v>
      </c>
      <c r="F10" s="311"/>
    </row>
    <row r="11" spans="1:6" ht="38.25" customHeight="1" x14ac:dyDescent="0.2">
      <c r="A11" s="96" t="s">
        <v>22</v>
      </c>
      <c r="B11" s="96" t="s">
        <v>164</v>
      </c>
      <c r="C11" s="97" t="s">
        <v>96</v>
      </c>
      <c r="D11" s="98" t="s">
        <v>35</v>
      </c>
      <c r="E11" s="99">
        <v>1</v>
      </c>
      <c r="F11" s="311"/>
    </row>
    <row r="12" spans="1:6" s="114" customFormat="1" ht="38.25" customHeight="1" x14ac:dyDescent="0.2">
      <c r="A12" s="96" t="s">
        <v>124</v>
      </c>
      <c r="B12" s="96" t="s">
        <v>165</v>
      </c>
      <c r="C12" s="101" t="s">
        <v>101</v>
      </c>
      <c r="D12" s="98" t="s">
        <v>35</v>
      </c>
      <c r="E12" s="99">
        <v>1</v>
      </c>
      <c r="F12" s="312"/>
    </row>
    <row r="13" spans="1:6" s="114" customFormat="1" ht="38.25" customHeight="1" x14ac:dyDescent="0.2">
      <c r="A13" s="96" t="s">
        <v>125</v>
      </c>
      <c r="B13" s="96" t="s">
        <v>99</v>
      </c>
      <c r="C13" s="101" t="s">
        <v>100</v>
      </c>
      <c r="D13" s="98" t="s">
        <v>35</v>
      </c>
      <c r="E13" s="99">
        <v>1</v>
      </c>
      <c r="F13" s="100" t="s">
        <v>36</v>
      </c>
    </row>
    <row r="14" spans="1:6" s="114" customFormat="1" ht="38.25" customHeight="1" x14ac:dyDescent="0.2">
      <c r="A14" s="96" t="s">
        <v>126</v>
      </c>
      <c r="B14" s="101" t="s">
        <v>102</v>
      </c>
      <c r="C14" s="101" t="s">
        <v>158</v>
      </c>
      <c r="D14" s="98" t="s">
        <v>35</v>
      </c>
      <c r="E14" s="99">
        <v>1</v>
      </c>
      <c r="F14" s="100" t="s">
        <v>36</v>
      </c>
    </row>
    <row r="15" spans="1:6" ht="14.25" x14ac:dyDescent="0.2">
      <c r="A15" s="105"/>
      <c r="B15" s="106"/>
      <c r="C15" s="107"/>
      <c r="D15" s="108"/>
      <c r="E15" s="109"/>
      <c r="F15" s="107"/>
    </row>
    <row r="16" spans="1:6" x14ac:dyDescent="0.25">
      <c r="A16" s="20" t="s">
        <v>39</v>
      </c>
      <c r="B16" s="92"/>
      <c r="C16" s="23"/>
      <c r="D16" s="93" t="s">
        <v>97</v>
      </c>
      <c r="E16" s="23"/>
      <c r="F16" s="110"/>
    </row>
    <row r="17" spans="1:6" s="114" customFormat="1" ht="14.25" customHeight="1" x14ac:dyDescent="0.2">
      <c r="A17" s="96" t="s">
        <v>40</v>
      </c>
      <c r="B17" s="101" t="s">
        <v>166</v>
      </c>
      <c r="C17" s="101" t="s">
        <v>103</v>
      </c>
      <c r="D17" s="98" t="s">
        <v>49</v>
      </c>
      <c r="E17" s="102">
        <v>40</v>
      </c>
      <c r="F17" s="310" t="s">
        <v>148</v>
      </c>
    </row>
    <row r="18" spans="1:6" s="114" customFormat="1" ht="14.25" x14ac:dyDescent="0.2">
      <c r="A18" s="96" t="s">
        <v>41</v>
      </c>
      <c r="B18" s="101" t="s">
        <v>167</v>
      </c>
      <c r="C18" s="101" t="s">
        <v>104</v>
      </c>
      <c r="D18" s="98" t="s">
        <v>49</v>
      </c>
      <c r="E18" s="102">
        <v>40</v>
      </c>
      <c r="F18" s="311"/>
    </row>
    <row r="19" spans="1:6" s="114" customFormat="1" ht="25.5" x14ac:dyDescent="0.2">
      <c r="A19" s="96" t="s">
        <v>42</v>
      </c>
      <c r="B19" s="101" t="s">
        <v>168</v>
      </c>
      <c r="C19" s="101" t="s">
        <v>105</v>
      </c>
      <c r="D19" s="98" t="s">
        <v>49</v>
      </c>
      <c r="E19" s="102">
        <v>22</v>
      </c>
      <c r="F19" s="311"/>
    </row>
    <row r="20" spans="1:6" s="114" customFormat="1" ht="25.5" x14ac:dyDescent="0.2">
      <c r="A20" s="96" t="s">
        <v>128</v>
      </c>
      <c r="B20" s="101" t="s">
        <v>169</v>
      </c>
      <c r="C20" s="214" t="s">
        <v>127</v>
      </c>
      <c r="D20" s="98" t="s">
        <v>49</v>
      </c>
      <c r="E20" s="102">
        <v>18</v>
      </c>
      <c r="F20" s="311"/>
    </row>
    <row r="21" spans="1:6" s="114" customFormat="1" ht="25.5" x14ac:dyDescent="0.2">
      <c r="A21" s="96" t="s">
        <v>129</v>
      </c>
      <c r="B21" s="101" t="s">
        <v>170</v>
      </c>
      <c r="C21" s="101" t="s">
        <v>106</v>
      </c>
      <c r="D21" s="98" t="s">
        <v>107</v>
      </c>
      <c r="E21" s="102">
        <v>2</v>
      </c>
      <c r="F21" s="311"/>
    </row>
    <row r="22" spans="1:6" s="114" customFormat="1" ht="14.25" x14ac:dyDescent="0.2">
      <c r="A22" s="96" t="s">
        <v>130</v>
      </c>
      <c r="B22" s="101" t="s">
        <v>171</v>
      </c>
      <c r="C22" s="101" t="s">
        <v>108</v>
      </c>
      <c r="D22" s="98" t="s">
        <v>59</v>
      </c>
      <c r="E22" s="102">
        <v>1.5</v>
      </c>
      <c r="F22" s="311"/>
    </row>
    <row r="23" spans="1:6" s="114" customFormat="1" ht="14.25" x14ac:dyDescent="0.2">
      <c r="A23" s="96" t="s">
        <v>131</v>
      </c>
      <c r="B23" s="101" t="s">
        <v>172</v>
      </c>
      <c r="C23" s="101" t="s">
        <v>109</v>
      </c>
      <c r="D23" s="98" t="s">
        <v>55</v>
      </c>
      <c r="E23" s="102">
        <v>24</v>
      </c>
      <c r="F23" s="311"/>
    </row>
    <row r="24" spans="1:6" s="114" customFormat="1" ht="25.5" x14ac:dyDescent="0.2">
      <c r="A24" s="96" t="s">
        <v>132</v>
      </c>
      <c r="B24" s="101" t="s">
        <v>173</v>
      </c>
      <c r="C24" s="101" t="s">
        <v>110</v>
      </c>
      <c r="D24" s="98" t="s">
        <v>55</v>
      </c>
      <c r="E24" s="102">
        <v>24</v>
      </c>
      <c r="F24" s="311"/>
    </row>
    <row r="25" spans="1:6" s="114" customFormat="1" ht="14.25" x14ac:dyDescent="0.2">
      <c r="A25" s="96" t="s">
        <v>133</v>
      </c>
      <c r="B25" s="101" t="s">
        <v>174</v>
      </c>
      <c r="C25" s="101" t="s">
        <v>111</v>
      </c>
      <c r="D25" s="98" t="s">
        <v>57</v>
      </c>
      <c r="E25" s="102">
        <v>15</v>
      </c>
      <c r="F25" s="311"/>
    </row>
    <row r="26" spans="1:6" s="114" customFormat="1" ht="14.25" x14ac:dyDescent="0.2">
      <c r="A26" s="96" t="s">
        <v>134</v>
      </c>
      <c r="B26" s="101" t="s">
        <v>175</v>
      </c>
      <c r="C26" s="101" t="s">
        <v>151</v>
      </c>
      <c r="D26" s="98" t="s">
        <v>35</v>
      </c>
      <c r="E26" s="102">
        <v>1</v>
      </c>
      <c r="F26" s="311"/>
    </row>
    <row r="27" spans="1:6" s="114" customFormat="1" ht="25.5" x14ac:dyDescent="0.2">
      <c r="A27" s="96" t="s">
        <v>135</v>
      </c>
      <c r="B27" s="101" t="s">
        <v>176</v>
      </c>
      <c r="C27" s="101" t="s">
        <v>112</v>
      </c>
      <c r="D27" s="98" t="s">
        <v>107</v>
      </c>
      <c r="E27" s="102">
        <v>1</v>
      </c>
      <c r="F27" s="311"/>
    </row>
    <row r="28" spans="1:6" s="114" customFormat="1" ht="14.25" x14ac:dyDescent="0.2">
      <c r="A28" s="96" t="s">
        <v>136</v>
      </c>
      <c r="B28" s="101" t="s">
        <v>177</v>
      </c>
      <c r="C28" s="101" t="s">
        <v>113</v>
      </c>
      <c r="D28" s="98" t="s">
        <v>49</v>
      </c>
      <c r="E28" s="102">
        <v>38</v>
      </c>
      <c r="F28" s="311"/>
    </row>
    <row r="29" spans="1:6" s="114" customFormat="1" ht="14.25" x14ac:dyDescent="0.2">
      <c r="A29" s="96" t="s">
        <v>137</v>
      </c>
      <c r="B29" s="101" t="s">
        <v>178</v>
      </c>
      <c r="C29" s="101" t="s">
        <v>114</v>
      </c>
      <c r="D29" s="98" t="s">
        <v>107</v>
      </c>
      <c r="E29" s="102">
        <v>10</v>
      </c>
      <c r="F29" s="311"/>
    </row>
    <row r="30" spans="1:6" s="114" customFormat="1" ht="14.25" x14ac:dyDescent="0.2">
      <c r="A30" s="96" t="s">
        <v>138</v>
      </c>
      <c r="B30" s="101" t="s">
        <v>179</v>
      </c>
      <c r="C30" s="101" t="s">
        <v>115</v>
      </c>
      <c r="D30" s="98" t="s">
        <v>107</v>
      </c>
      <c r="E30" s="102">
        <v>1</v>
      </c>
      <c r="F30" s="311"/>
    </row>
    <row r="31" spans="1:6" s="114" customFormat="1" ht="14.25" x14ac:dyDescent="0.2">
      <c r="A31" s="96" t="s">
        <v>139</v>
      </c>
      <c r="B31" s="101" t="s">
        <v>180</v>
      </c>
      <c r="C31" s="101" t="s">
        <v>116</v>
      </c>
      <c r="D31" s="98" t="s">
        <v>57</v>
      </c>
      <c r="E31" s="102">
        <v>5</v>
      </c>
      <c r="F31" s="311"/>
    </row>
    <row r="32" spans="1:6" s="114" customFormat="1" ht="14.25" x14ac:dyDescent="0.2">
      <c r="A32" s="96" t="s">
        <v>140</v>
      </c>
      <c r="B32" s="101" t="s">
        <v>181</v>
      </c>
      <c r="C32" s="101" t="s">
        <v>117</v>
      </c>
      <c r="D32" s="98" t="s">
        <v>49</v>
      </c>
      <c r="E32" s="102">
        <v>100</v>
      </c>
      <c r="F32" s="311"/>
    </row>
    <row r="33" spans="1:6" s="114" customFormat="1" ht="14.25" x14ac:dyDescent="0.2">
      <c r="A33" s="96" t="s">
        <v>141</v>
      </c>
      <c r="B33" s="101" t="s">
        <v>182</v>
      </c>
      <c r="C33" s="101" t="s">
        <v>118</v>
      </c>
      <c r="D33" s="98" t="s">
        <v>107</v>
      </c>
      <c r="E33" s="102">
        <v>1</v>
      </c>
      <c r="F33" s="311"/>
    </row>
    <row r="34" spans="1:6" s="114" customFormat="1" ht="14.25" x14ac:dyDescent="0.2">
      <c r="A34" s="96" t="s">
        <v>142</v>
      </c>
      <c r="B34" s="101" t="s">
        <v>183</v>
      </c>
      <c r="C34" s="101" t="s">
        <v>119</v>
      </c>
      <c r="D34" s="98" t="s">
        <v>189</v>
      </c>
      <c r="E34" s="102">
        <v>1</v>
      </c>
      <c r="F34" s="311"/>
    </row>
    <row r="35" spans="1:6" s="114" customFormat="1" ht="14.25" x14ac:dyDescent="0.2">
      <c r="A35" s="96" t="s">
        <v>143</v>
      </c>
      <c r="B35" s="101" t="s">
        <v>184</v>
      </c>
      <c r="C35" s="101" t="s">
        <v>120</v>
      </c>
      <c r="D35" s="98" t="s">
        <v>48</v>
      </c>
      <c r="E35" s="102">
        <v>1</v>
      </c>
      <c r="F35" s="311"/>
    </row>
    <row r="36" spans="1:6" s="114" customFormat="1" ht="25.5" x14ac:dyDescent="0.2">
      <c r="A36" s="96" t="s">
        <v>144</v>
      </c>
      <c r="B36" s="101" t="s">
        <v>185</v>
      </c>
      <c r="C36" s="101" t="s">
        <v>121</v>
      </c>
      <c r="D36" s="98" t="s">
        <v>107</v>
      </c>
      <c r="E36" s="102">
        <v>1</v>
      </c>
      <c r="F36" s="311"/>
    </row>
    <row r="37" spans="1:6" s="114" customFormat="1" ht="25.5" x14ac:dyDescent="0.2">
      <c r="A37" s="96" t="s">
        <v>145</v>
      </c>
      <c r="B37" s="101" t="s">
        <v>186</v>
      </c>
      <c r="C37" s="101" t="s">
        <v>122</v>
      </c>
      <c r="D37" s="98" t="s">
        <v>189</v>
      </c>
      <c r="E37" s="102">
        <v>1</v>
      </c>
      <c r="F37" s="311"/>
    </row>
    <row r="38" spans="1:6" s="114" customFormat="1" ht="14.25" x14ac:dyDescent="0.2">
      <c r="A38" s="96" t="s">
        <v>146</v>
      </c>
      <c r="B38" s="101" t="s">
        <v>187</v>
      </c>
      <c r="C38" s="101" t="s">
        <v>123</v>
      </c>
      <c r="D38" s="98" t="s">
        <v>107</v>
      </c>
      <c r="E38" s="102">
        <v>1</v>
      </c>
      <c r="F38" s="311"/>
    </row>
    <row r="39" spans="1:6" s="114" customFormat="1" ht="25.5" x14ac:dyDescent="0.2">
      <c r="A39" s="96" t="s">
        <v>147</v>
      </c>
      <c r="B39" s="101" t="s">
        <v>152</v>
      </c>
      <c r="C39" s="101" t="s">
        <v>188</v>
      </c>
      <c r="D39" s="98" t="s">
        <v>37</v>
      </c>
      <c r="E39" s="102">
        <f>0.2*1.2</f>
        <v>0.24</v>
      </c>
      <c r="F39" s="311"/>
    </row>
    <row r="40" spans="1:6" x14ac:dyDescent="0.25">
      <c r="A40" s="111"/>
      <c r="B40" s="112"/>
      <c r="E40" s="88"/>
    </row>
    <row r="41" spans="1:6" x14ac:dyDescent="0.25">
      <c r="A41" s="20" t="s">
        <v>43</v>
      </c>
      <c r="B41" s="92"/>
      <c r="C41" s="23"/>
      <c r="D41" s="93" t="s">
        <v>26</v>
      </c>
      <c r="E41" s="23"/>
      <c r="F41" s="113"/>
    </row>
    <row r="42" spans="1:6" s="114" customFormat="1" ht="14.25" x14ac:dyDescent="0.2">
      <c r="A42" s="103"/>
      <c r="B42" s="103" t="s">
        <v>98</v>
      </c>
      <c r="C42" s="103"/>
      <c r="D42" s="103"/>
      <c r="E42" s="103"/>
      <c r="F42" s="104"/>
    </row>
    <row r="43" spans="1:6" ht="89.25" x14ac:dyDescent="0.2">
      <c r="A43" s="95" t="s">
        <v>44</v>
      </c>
      <c r="B43" s="101" t="s">
        <v>191</v>
      </c>
      <c r="C43" s="97" t="s">
        <v>190</v>
      </c>
      <c r="D43" s="98" t="s">
        <v>48</v>
      </c>
      <c r="E43" s="102">
        <v>1</v>
      </c>
      <c r="F43" s="308" t="s">
        <v>149</v>
      </c>
    </row>
    <row r="44" spans="1:6" s="114" customFormat="1" ht="76.5" x14ac:dyDescent="0.2">
      <c r="A44" s="96" t="s">
        <v>45</v>
      </c>
      <c r="B44" s="101" t="s">
        <v>197</v>
      </c>
      <c r="C44" s="101" t="s">
        <v>94</v>
      </c>
      <c r="D44" s="98" t="s">
        <v>35</v>
      </c>
      <c r="E44" s="99">
        <v>1</v>
      </c>
      <c r="F44" s="309"/>
    </row>
    <row r="46" spans="1:6" x14ac:dyDescent="0.25">
      <c r="A46" s="20" t="s">
        <v>46</v>
      </c>
      <c r="B46" s="92"/>
      <c r="C46" s="93" t="s">
        <v>27</v>
      </c>
      <c r="D46" s="117"/>
      <c r="E46" s="117"/>
      <c r="F46" s="117"/>
    </row>
    <row r="47" spans="1:6" s="114" customFormat="1" ht="14.25" x14ac:dyDescent="0.2">
      <c r="A47" s="96" t="s">
        <v>47</v>
      </c>
      <c r="B47" s="101" t="s">
        <v>70</v>
      </c>
      <c r="C47" s="101" t="s">
        <v>150</v>
      </c>
      <c r="D47" s="98" t="s">
        <v>35</v>
      </c>
      <c r="E47" s="102">
        <v>1</v>
      </c>
      <c r="F47" s="101"/>
    </row>
    <row r="49" spans="2:7" x14ac:dyDescent="0.25">
      <c r="C49" s="13"/>
      <c r="D49" s="14"/>
    </row>
    <row r="50" spans="2:7" ht="15.75" x14ac:dyDescent="0.25">
      <c r="C50" s="10" t="s">
        <v>2</v>
      </c>
      <c r="D50" s="77"/>
      <c r="F50" s="278" t="s">
        <v>202</v>
      </c>
      <c r="G50" s="83"/>
    </row>
    <row r="51" spans="2:7" x14ac:dyDescent="0.25">
      <c r="C51" s="79" t="s">
        <v>3</v>
      </c>
      <c r="D51" s="80"/>
      <c r="F51" s="79" t="s">
        <v>203</v>
      </c>
      <c r="G51" s="83"/>
    </row>
    <row r="52" spans="2:7" x14ac:dyDescent="0.25">
      <c r="C52" s="79" t="s">
        <v>4</v>
      </c>
      <c r="D52" s="80"/>
      <c r="F52" s="79" t="s">
        <v>204</v>
      </c>
      <c r="G52" s="83"/>
    </row>
    <row r="53" spans="2:7" x14ac:dyDescent="0.25">
      <c r="B53" s="114"/>
      <c r="C53" s="79" t="s">
        <v>5</v>
      </c>
      <c r="D53" s="80"/>
      <c r="F53" s="79" t="s">
        <v>205</v>
      </c>
      <c r="G53" s="83"/>
    </row>
  </sheetData>
  <mergeCells count="5">
    <mergeCell ref="F43:F44"/>
    <mergeCell ref="F17:F39"/>
    <mergeCell ref="A5:F5"/>
    <mergeCell ref="A6:F6"/>
    <mergeCell ref="F9:F12"/>
  </mergeCells>
  <pageMargins left="0.25" right="0.25" top="0.75" bottom="0.75" header="0.3" footer="0.3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opLeftCell="A61" zoomScaleNormal="100" workbookViewId="0">
      <selection activeCell="C70" sqref="C70:G74"/>
    </sheetView>
  </sheetViews>
  <sheetFormatPr defaultRowHeight="14.25" x14ac:dyDescent="0.2"/>
  <cols>
    <col min="1" max="1" width="9.5" style="115" bestFit="1" customWidth="1"/>
    <col min="2" max="2" width="9.75" style="115" customWidth="1"/>
    <col min="3" max="3" width="47.625" style="118" customWidth="1"/>
    <col min="4" max="4" width="10.625" style="145" customWidth="1"/>
    <col min="5" max="5" width="13" style="116" customWidth="1"/>
    <col min="6" max="6" width="12.375" style="119" bestFit="1" customWidth="1"/>
    <col min="7" max="7" width="12.375" style="116" bestFit="1" customWidth="1"/>
    <col min="8" max="8" width="10.75" style="116" bestFit="1" customWidth="1"/>
    <col min="9" max="9" width="15.875" style="120" customWidth="1"/>
    <col min="10" max="14" width="9.125" style="115" customWidth="1"/>
    <col min="15" max="15" width="15.875" style="115" customWidth="1"/>
    <col min="16" max="1021" width="9.125" customWidth="1"/>
    <col min="1022" max="1022" width="9" customWidth="1"/>
    <col min="1023" max="1026" width="8.625" customWidth="1"/>
  </cols>
  <sheetData>
    <row r="1" spans="1:15" x14ac:dyDescent="0.2">
      <c r="E1" s="115"/>
      <c r="F1" s="121"/>
      <c r="I1" s="61"/>
    </row>
    <row r="2" spans="1:15" x14ac:dyDescent="0.2">
      <c r="E2" s="115"/>
      <c r="F2" s="121"/>
      <c r="I2" s="61"/>
    </row>
    <row r="3" spans="1:15" x14ac:dyDescent="0.2">
      <c r="A3" s="122"/>
      <c r="B3" s="122"/>
      <c r="E3" s="115"/>
      <c r="F3" s="121"/>
      <c r="G3" s="115"/>
      <c r="H3" s="115"/>
      <c r="I3" s="123"/>
    </row>
    <row r="4" spans="1:15" x14ac:dyDescent="0.2">
      <c r="A4" s="122"/>
      <c r="B4" s="122"/>
      <c r="E4" s="115"/>
      <c r="F4" s="121"/>
      <c r="G4" s="115"/>
      <c r="H4" s="115"/>
      <c r="I4" s="123"/>
    </row>
    <row r="5" spans="1:15" ht="18.75" x14ac:dyDescent="0.2">
      <c r="A5" s="316" t="s">
        <v>50</v>
      </c>
      <c r="B5" s="316"/>
      <c r="C5" s="316"/>
      <c r="D5" s="316"/>
      <c r="E5" s="316"/>
      <c r="F5" s="316"/>
      <c r="G5" s="316"/>
      <c r="H5" s="316"/>
      <c r="I5" s="123"/>
    </row>
    <row r="6" spans="1:15" ht="108.75" customHeight="1" x14ac:dyDescent="0.2">
      <c r="A6" s="305" t="str">
        <f>MEMORIA_DE_CALCULO!A6</f>
        <v>Perfuração de poço no Campus Maragogi com interligação ao poço existente no regime de execução indireta, empreitada por Preço Unitário 
(latitute 8º 55'21'' e longitude 35º 9'31'')
Endereço: Rodovia AL 101 Norte, Assentamento Nova Jerusalém Bairro Peroba.
Maragogi-AL - CEP 57955-000</v>
      </c>
      <c r="B6" s="305"/>
      <c r="C6" s="305"/>
      <c r="D6" s="305"/>
      <c r="E6" s="305"/>
      <c r="F6" s="305"/>
      <c r="G6" s="305"/>
      <c r="H6" s="305"/>
      <c r="I6" s="123"/>
    </row>
    <row r="7" spans="1:15" x14ac:dyDescent="0.2">
      <c r="A7" s="222" t="s">
        <v>31</v>
      </c>
      <c r="B7" s="221"/>
      <c r="C7" s="215" t="s">
        <v>32</v>
      </c>
      <c r="D7" s="215"/>
      <c r="E7" s="221"/>
      <c r="F7" s="216"/>
      <c r="G7" s="221"/>
      <c r="H7" s="217"/>
    </row>
    <row r="8" spans="1:15" x14ac:dyDescent="0.2">
      <c r="A8" s="223"/>
      <c r="B8" s="315" t="s">
        <v>153</v>
      </c>
      <c r="C8" s="315"/>
      <c r="D8" s="315"/>
      <c r="E8" s="315"/>
      <c r="F8" s="315"/>
      <c r="G8" s="315"/>
      <c r="H8" s="315"/>
      <c r="I8" s="125"/>
    </row>
    <row r="9" spans="1:15" s="127" customFormat="1" ht="45" x14ac:dyDescent="0.2">
      <c r="A9" s="254" t="s">
        <v>161</v>
      </c>
      <c r="B9" s="254"/>
      <c r="C9" s="255" t="s">
        <v>160</v>
      </c>
      <c r="D9" s="256" t="s">
        <v>52</v>
      </c>
      <c r="E9" s="254" t="s">
        <v>156</v>
      </c>
      <c r="F9" s="254" t="s">
        <v>155</v>
      </c>
      <c r="G9" s="254" t="s">
        <v>154</v>
      </c>
      <c r="H9" s="254" t="s">
        <v>157</v>
      </c>
      <c r="I9" s="126"/>
    </row>
    <row r="10" spans="1:15" s="114" customFormat="1" x14ac:dyDescent="0.2">
      <c r="A10" s="253" t="s">
        <v>162</v>
      </c>
      <c r="B10" s="219" t="s">
        <v>20</v>
      </c>
      <c r="C10" s="224" t="s">
        <v>93</v>
      </c>
      <c r="D10" s="225" t="s">
        <v>35</v>
      </c>
      <c r="E10" s="252">
        <v>1000</v>
      </c>
      <c r="F10" s="252">
        <v>945</v>
      </c>
      <c r="G10" s="252">
        <v>4000</v>
      </c>
      <c r="H10" s="218">
        <f>MEDIAN(E10:G10)</f>
        <v>1000</v>
      </c>
      <c r="I10" s="137"/>
      <c r="J10" s="138"/>
      <c r="K10" s="138"/>
      <c r="L10" s="124"/>
      <c r="M10" s="124"/>
      <c r="N10" s="124"/>
      <c r="O10" s="124"/>
    </row>
    <row r="11" spans="1:15" s="114" customFormat="1" x14ac:dyDescent="0.2">
      <c r="A11" s="253" t="s">
        <v>163</v>
      </c>
      <c r="B11" s="219" t="s">
        <v>21</v>
      </c>
      <c r="C11" s="224" t="s">
        <v>95</v>
      </c>
      <c r="D11" s="225" t="s">
        <v>35</v>
      </c>
      <c r="E11" s="252">
        <v>400</v>
      </c>
      <c r="F11" s="252">
        <v>800</v>
      </c>
      <c r="G11" s="252">
        <v>350</v>
      </c>
      <c r="H11" s="218">
        <f t="shared" ref="H11:H13" si="0">MEDIAN(E11:G11)</f>
        <v>400</v>
      </c>
      <c r="I11" s="137"/>
      <c r="J11" s="138"/>
      <c r="K11" s="138"/>
      <c r="L11" s="124"/>
      <c r="M11" s="124"/>
      <c r="N11" s="124"/>
      <c r="O11" s="124"/>
    </row>
    <row r="12" spans="1:15" s="114" customFormat="1" ht="25.5" x14ac:dyDescent="0.2">
      <c r="A12" s="253" t="s">
        <v>164</v>
      </c>
      <c r="B12" s="219" t="s">
        <v>22</v>
      </c>
      <c r="C12" s="224" t="s">
        <v>96</v>
      </c>
      <c r="D12" s="225" t="s">
        <v>35</v>
      </c>
      <c r="E12" s="252">
        <v>300</v>
      </c>
      <c r="F12" s="252">
        <v>400</v>
      </c>
      <c r="G12" s="252">
        <v>350</v>
      </c>
      <c r="H12" s="218">
        <f t="shared" si="0"/>
        <v>350</v>
      </c>
      <c r="I12" s="137"/>
      <c r="J12" s="138"/>
      <c r="K12" s="138"/>
      <c r="L12" s="124"/>
      <c r="M12" s="124"/>
      <c r="N12" s="124"/>
      <c r="O12" s="124"/>
    </row>
    <row r="13" spans="1:15" x14ac:dyDescent="0.2">
      <c r="A13" s="253" t="s">
        <v>165</v>
      </c>
      <c r="B13" s="219" t="s">
        <v>124</v>
      </c>
      <c r="C13" s="224" t="s">
        <v>101</v>
      </c>
      <c r="D13" s="225" t="s">
        <v>35</v>
      </c>
      <c r="E13" s="252">
        <v>3000</v>
      </c>
      <c r="F13" s="252">
        <v>1500</v>
      </c>
      <c r="G13" s="252">
        <v>3500</v>
      </c>
      <c r="H13" s="218">
        <f t="shared" si="0"/>
        <v>3000</v>
      </c>
      <c r="J13" s="127"/>
      <c r="K13" s="127"/>
    </row>
    <row r="14" spans="1:15" s="114" customFormat="1" x14ac:dyDescent="0.2">
      <c r="A14" s="257"/>
      <c r="B14" s="236"/>
      <c r="C14" s="284"/>
      <c r="D14" s="184"/>
      <c r="E14" s="258"/>
      <c r="F14" s="258"/>
      <c r="G14" s="258"/>
      <c r="H14" s="237"/>
      <c r="I14" s="137"/>
      <c r="J14" s="138"/>
      <c r="K14" s="138"/>
      <c r="L14" s="124"/>
      <c r="M14" s="124"/>
      <c r="N14" s="124"/>
      <c r="O14" s="124"/>
    </row>
    <row r="15" spans="1:15" s="179" customFormat="1" x14ac:dyDescent="0.2">
      <c r="A15" s="259"/>
      <c r="B15" s="314" t="s">
        <v>159</v>
      </c>
      <c r="C15" s="314"/>
      <c r="D15" s="314"/>
      <c r="E15" s="314"/>
      <c r="F15" s="314"/>
      <c r="G15" s="314"/>
      <c r="H15" s="314"/>
      <c r="I15" s="180"/>
      <c r="J15" s="178"/>
      <c r="K15" s="178"/>
      <c r="L15" s="177"/>
      <c r="M15" s="177"/>
      <c r="N15" s="177"/>
      <c r="O15" s="177"/>
    </row>
    <row r="16" spans="1:15" x14ac:dyDescent="0.2">
      <c r="A16" s="231" t="s">
        <v>99</v>
      </c>
      <c r="B16" s="231"/>
      <c r="C16" s="232" t="s">
        <v>64</v>
      </c>
      <c r="D16" s="233"/>
      <c r="E16" s="233"/>
      <c r="F16" s="233"/>
      <c r="G16" s="233"/>
      <c r="H16" s="234">
        <f>H21</f>
        <v>257</v>
      </c>
      <c r="I16" s="143"/>
      <c r="J16" s="127"/>
      <c r="K16" s="127"/>
      <c r="O16" s="144"/>
    </row>
    <row r="17" spans="1:15" x14ac:dyDescent="0.2">
      <c r="A17" s="260" t="s">
        <v>51</v>
      </c>
      <c r="B17" s="260" t="s">
        <v>7</v>
      </c>
      <c r="C17" s="287" t="s">
        <v>8</v>
      </c>
      <c r="D17" s="288"/>
      <c r="E17" s="260" t="s">
        <v>52</v>
      </c>
      <c r="F17" s="261" t="s">
        <v>53</v>
      </c>
      <c r="G17" s="260" t="s">
        <v>11</v>
      </c>
      <c r="H17" s="262" t="s">
        <v>16</v>
      </c>
      <c r="I17" s="123"/>
      <c r="J17" s="127"/>
      <c r="K17" s="127"/>
      <c r="O17" s="144"/>
    </row>
    <row r="18" spans="1:15" x14ac:dyDescent="0.2">
      <c r="A18" s="174" t="s">
        <v>56</v>
      </c>
      <c r="B18" s="139" t="s">
        <v>65</v>
      </c>
      <c r="C18" s="285" t="s">
        <v>66</v>
      </c>
      <c r="D18" s="286"/>
      <c r="E18" s="139" t="s">
        <v>33</v>
      </c>
      <c r="F18" s="142">
        <f>60*5</f>
        <v>300</v>
      </c>
      <c r="G18" s="53">
        <v>0.6</v>
      </c>
      <c r="H18" s="140">
        <f>G18*F18</f>
        <v>180</v>
      </c>
      <c r="I18" s="125"/>
      <c r="J18" s="127"/>
      <c r="K18" s="127"/>
    </row>
    <row r="19" spans="1:15" s="114" customFormat="1" x14ac:dyDescent="0.2">
      <c r="A19" s="174" t="s">
        <v>60</v>
      </c>
      <c r="B19" s="139" t="s">
        <v>61</v>
      </c>
      <c r="C19" s="285" t="s">
        <v>62</v>
      </c>
      <c r="D19" s="286"/>
      <c r="E19" s="139" t="s">
        <v>35</v>
      </c>
      <c r="F19" s="142">
        <v>1</v>
      </c>
      <c r="G19" s="133">
        <v>68.900000000000006</v>
      </c>
      <c r="H19" s="140">
        <f>G19*F19</f>
        <v>68.900000000000006</v>
      </c>
      <c r="I19" s="141"/>
      <c r="J19" s="138"/>
      <c r="K19" s="138"/>
      <c r="L19" s="124"/>
      <c r="M19" s="124"/>
      <c r="N19" s="124"/>
      <c r="O19" s="124"/>
    </row>
    <row r="20" spans="1:15" s="114" customFormat="1" x14ac:dyDescent="0.2">
      <c r="A20" s="174" t="s">
        <v>56</v>
      </c>
      <c r="B20" s="139" t="s">
        <v>67</v>
      </c>
      <c r="C20" s="285" t="s">
        <v>68</v>
      </c>
      <c r="D20" s="286"/>
      <c r="E20" s="139" t="s">
        <v>35</v>
      </c>
      <c r="F20" s="142">
        <v>3</v>
      </c>
      <c r="G20" s="53">
        <v>2.7</v>
      </c>
      <c r="H20" s="140">
        <f>G20*F20</f>
        <v>8.1000000000000014</v>
      </c>
      <c r="I20" s="141"/>
      <c r="J20" s="138"/>
      <c r="K20" s="138"/>
      <c r="L20" s="124"/>
      <c r="M20" s="124"/>
      <c r="N20" s="124"/>
      <c r="O20" s="124"/>
    </row>
    <row r="21" spans="1:15" x14ac:dyDescent="0.2">
      <c r="A21" s="317" t="s">
        <v>58</v>
      </c>
      <c r="B21" s="317"/>
      <c r="C21" s="317"/>
      <c r="D21" s="317"/>
      <c r="E21" s="317"/>
      <c r="F21" s="317"/>
      <c r="G21" s="317"/>
      <c r="H21" s="263">
        <f>ROUND(SUM(H18:H20),2)</f>
        <v>257</v>
      </c>
      <c r="I21" s="123"/>
      <c r="J21" s="127"/>
      <c r="K21" s="127"/>
    </row>
    <row r="22" spans="1:15" s="179" customFormat="1" x14ac:dyDescent="0.2">
      <c r="A22" s="264"/>
      <c r="B22" s="264"/>
      <c r="C22" s="265"/>
      <c r="D22" s="266"/>
      <c r="E22" s="266"/>
      <c r="F22" s="266"/>
      <c r="G22" s="266"/>
      <c r="H22" s="267"/>
      <c r="I22" s="181"/>
      <c r="J22" s="178"/>
      <c r="K22" s="178"/>
      <c r="L22" s="177"/>
      <c r="M22" s="177"/>
      <c r="N22" s="177"/>
      <c r="O22" s="177"/>
    </row>
    <row r="23" spans="1:15" x14ac:dyDescent="0.2">
      <c r="A23" s="231" t="s">
        <v>102</v>
      </c>
      <c r="B23" s="231"/>
      <c r="C23" s="232" t="s">
        <v>38</v>
      </c>
      <c r="D23" s="233"/>
      <c r="E23" s="233"/>
      <c r="F23" s="233"/>
      <c r="G23" s="233"/>
      <c r="H23" s="234">
        <f>H27</f>
        <v>367.96</v>
      </c>
      <c r="I23" s="126"/>
      <c r="J23" s="127"/>
      <c r="K23" s="127"/>
      <c r="O23" s="144"/>
    </row>
    <row r="24" spans="1:15" x14ac:dyDescent="0.2">
      <c r="A24" s="260" t="s">
        <v>51</v>
      </c>
      <c r="B24" s="260" t="s">
        <v>7</v>
      </c>
      <c r="C24" s="287" t="s">
        <v>8</v>
      </c>
      <c r="D24" s="288"/>
      <c r="E24" s="260" t="s">
        <v>52</v>
      </c>
      <c r="F24" s="261" t="s">
        <v>53</v>
      </c>
      <c r="G24" s="260" t="s">
        <v>11</v>
      </c>
      <c r="H24" s="262" t="s">
        <v>16</v>
      </c>
      <c r="I24" s="123"/>
      <c r="J24" s="127"/>
      <c r="K24" s="127"/>
    </row>
    <row r="25" spans="1:15" x14ac:dyDescent="0.2">
      <c r="A25" s="174" t="s">
        <v>56</v>
      </c>
      <c r="B25" s="139">
        <v>34779</v>
      </c>
      <c r="C25" s="285" t="s">
        <v>198</v>
      </c>
      <c r="D25" s="289"/>
      <c r="E25" s="139" t="s">
        <v>63</v>
      </c>
      <c r="F25" s="142">
        <v>4</v>
      </c>
      <c r="G25" s="133">
        <v>69.61</v>
      </c>
      <c r="H25" s="173">
        <f>G25*F25</f>
        <v>278.44</v>
      </c>
      <c r="I25" s="125"/>
      <c r="J25" s="127"/>
      <c r="K25" s="127"/>
    </row>
    <row r="26" spans="1:15" x14ac:dyDescent="0.2">
      <c r="A26" s="174" t="s">
        <v>56</v>
      </c>
      <c r="B26" s="139">
        <v>2350</v>
      </c>
      <c r="C26" s="285" t="s">
        <v>69</v>
      </c>
      <c r="D26" s="289"/>
      <c r="E26" s="139" t="s">
        <v>63</v>
      </c>
      <c r="F26" s="142">
        <v>8</v>
      </c>
      <c r="G26" s="133">
        <v>11.19</v>
      </c>
      <c r="H26" s="173">
        <f>G26*F26</f>
        <v>89.52</v>
      </c>
      <c r="I26" s="125"/>
      <c r="J26" s="127"/>
      <c r="K26" s="127"/>
    </row>
    <row r="27" spans="1:15" x14ac:dyDescent="0.2">
      <c r="A27" s="318" t="s">
        <v>58</v>
      </c>
      <c r="B27" s="318"/>
      <c r="C27" s="318"/>
      <c r="D27" s="318"/>
      <c r="E27" s="318"/>
      <c r="F27" s="318"/>
      <c r="G27" s="318"/>
      <c r="H27" s="263">
        <f>ROUND(SUM(H25:H26),2)</f>
        <v>367.96</v>
      </c>
      <c r="I27" s="123"/>
      <c r="J27" s="127"/>
      <c r="K27" s="127"/>
    </row>
    <row r="28" spans="1:15" x14ac:dyDescent="0.2">
      <c r="A28" s="268"/>
      <c r="B28" s="269"/>
      <c r="C28" s="269"/>
      <c r="D28" s="269"/>
      <c r="E28" s="269"/>
      <c r="F28" s="269"/>
      <c r="G28" s="270"/>
      <c r="H28" s="271"/>
      <c r="I28" s="123"/>
      <c r="J28" s="127"/>
      <c r="K28" s="127"/>
    </row>
    <row r="29" spans="1:15" s="114" customFormat="1" x14ac:dyDescent="0.2">
      <c r="A29" s="272" t="s">
        <v>39</v>
      </c>
      <c r="B29" s="272" t="s">
        <v>97</v>
      </c>
      <c r="C29" s="273"/>
      <c r="D29" s="273"/>
      <c r="E29" s="274"/>
      <c r="F29" s="275"/>
      <c r="G29" s="274"/>
      <c r="H29" s="276"/>
      <c r="I29" s="137"/>
      <c r="J29" s="124"/>
      <c r="K29" s="124"/>
      <c r="L29" s="124"/>
      <c r="M29" s="124"/>
      <c r="N29" s="124"/>
      <c r="O29" s="124"/>
    </row>
    <row r="30" spans="1:15" s="114" customFormat="1" x14ac:dyDescent="0.2">
      <c r="A30" s="259"/>
      <c r="B30" s="314" t="s">
        <v>153</v>
      </c>
      <c r="C30" s="314"/>
      <c r="D30" s="314"/>
      <c r="E30" s="314"/>
      <c r="F30" s="314"/>
      <c r="G30" s="314"/>
      <c r="H30" s="314"/>
      <c r="I30" s="141"/>
      <c r="J30" s="124"/>
      <c r="K30" s="124"/>
      <c r="L30" s="124"/>
      <c r="M30" s="124"/>
      <c r="N30" s="124"/>
      <c r="O30" s="124"/>
    </row>
    <row r="31" spans="1:15" s="138" customFormat="1" ht="45" x14ac:dyDescent="0.2">
      <c r="A31" s="254" t="s">
        <v>161</v>
      </c>
      <c r="B31" s="254"/>
      <c r="C31" s="255" t="s">
        <v>160</v>
      </c>
      <c r="D31" s="256" t="s">
        <v>52</v>
      </c>
      <c r="E31" s="254" t="s">
        <v>156</v>
      </c>
      <c r="F31" s="254" t="s">
        <v>155</v>
      </c>
      <c r="G31" s="254" t="s">
        <v>154</v>
      </c>
      <c r="H31" s="254" t="s">
        <v>157</v>
      </c>
      <c r="I31" s="126"/>
    </row>
    <row r="32" spans="1:15" s="114" customFormat="1" x14ac:dyDescent="0.2">
      <c r="A32" s="253" t="s">
        <v>166</v>
      </c>
      <c r="B32" s="219" t="s">
        <v>40</v>
      </c>
      <c r="C32" s="224" t="s">
        <v>103</v>
      </c>
      <c r="D32" s="225" t="s">
        <v>49</v>
      </c>
      <c r="E32" s="252">
        <v>100</v>
      </c>
      <c r="F32" s="252">
        <v>95.7</v>
      </c>
      <c r="G32" s="252">
        <v>98.9</v>
      </c>
      <c r="H32" s="218">
        <f t="shared" ref="H32:H53" si="1">MEDIAN(E32:G32)</f>
        <v>98.9</v>
      </c>
      <c r="I32" s="137"/>
      <c r="J32" s="138"/>
      <c r="K32" s="138"/>
      <c r="L32" s="124"/>
      <c r="M32" s="124"/>
      <c r="N32" s="124"/>
      <c r="O32" s="124"/>
    </row>
    <row r="33" spans="1:15" s="114" customFormat="1" x14ac:dyDescent="0.2">
      <c r="A33" s="253" t="s">
        <v>167</v>
      </c>
      <c r="B33" s="219" t="s">
        <v>41</v>
      </c>
      <c r="C33" s="224" t="s">
        <v>104</v>
      </c>
      <c r="D33" s="225" t="s">
        <v>49</v>
      </c>
      <c r="E33" s="252">
        <v>100</v>
      </c>
      <c r="F33" s="252">
        <v>84.37</v>
      </c>
      <c r="G33" s="252">
        <v>113.8</v>
      </c>
      <c r="H33" s="218">
        <f t="shared" si="1"/>
        <v>100</v>
      </c>
      <c r="I33" s="137"/>
      <c r="J33" s="138"/>
      <c r="K33" s="138"/>
      <c r="L33" s="124"/>
      <c r="M33" s="124"/>
      <c r="N33" s="124"/>
      <c r="O33" s="124"/>
    </row>
    <row r="34" spans="1:15" s="114" customFormat="1" ht="25.5" x14ac:dyDescent="0.2">
      <c r="A34" s="253" t="s">
        <v>168</v>
      </c>
      <c r="B34" s="219" t="s">
        <v>42</v>
      </c>
      <c r="C34" s="224" t="s">
        <v>105</v>
      </c>
      <c r="D34" s="225" t="s">
        <v>49</v>
      </c>
      <c r="E34" s="252">
        <v>80</v>
      </c>
      <c r="F34" s="252">
        <v>126.5</v>
      </c>
      <c r="G34" s="252">
        <v>121.3</v>
      </c>
      <c r="H34" s="218">
        <f t="shared" si="1"/>
        <v>121.3</v>
      </c>
      <c r="I34" s="137"/>
      <c r="J34" s="138"/>
      <c r="K34" s="138"/>
      <c r="L34" s="124"/>
      <c r="M34" s="124"/>
      <c r="N34" s="124"/>
      <c r="O34" s="124"/>
    </row>
    <row r="35" spans="1:15" s="114" customFormat="1" ht="25.5" x14ac:dyDescent="0.2">
      <c r="A35" s="253" t="s">
        <v>169</v>
      </c>
      <c r="B35" s="219" t="s">
        <v>128</v>
      </c>
      <c r="C35" s="224" t="s">
        <v>127</v>
      </c>
      <c r="D35" s="225" t="s">
        <v>49</v>
      </c>
      <c r="E35" s="252">
        <v>90</v>
      </c>
      <c r="F35" s="252">
        <v>137.5</v>
      </c>
      <c r="G35" s="252">
        <v>129.80000000000001</v>
      </c>
      <c r="H35" s="218">
        <f t="shared" si="1"/>
        <v>129.80000000000001</v>
      </c>
      <c r="I35" s="137"/>
      <c r="J35" s="138"/>
      <c r="K35" s="138"/>
      <c r="L35" s="124"/>
      <c r="M35" s="124"/>
      <c r="N35" s="124"/>
      <c r="O35" s="124"/>
    </row>
    <row r="36" spans="1:15" s="114" customFormat="1" ht="25.5" x14ac:dyDescent="0.2">
      <c r="A36" s="253" t="s">
        <v>170</v>
      </c>
      <c r="B36" s="219" t="s">
        <v>129</v>
      </c>
      <c r="C36" s="224" t="s">
        <v>106</v>
      </c>
      <c r="D36" s="225" t="s">
        <v>107</v>
      </c>
      <c r="E36" s="252">
        <v>40</v>
      </c>
      <c r="F36" s="252">
        <v>77</v>
      </c>
      <c r="G36" s="252">
        <v>140</v>
      </c>
      <c r="H36" s="218">
        <f t="shared" si="1"/>
        <v>77</v>
      </c>
      <c r="I36" s="137"/>
      <c r="J36" s="138"/>
      <c r="K36" s="138"/>
      <c r="L36" s="124"/>
      <c r="M36" s="124"/>
      <c r="N36" s="124"/>
      <c r="O36" s="124"/>
    </row>
    <row r="37" spans="1:15" s="114" customFormat="1" x14ac:dyDescent="0.2">
      <c r="A37" s="253" t="s">
        <v>171</v>
      </c>
      <c r="B37" s="219" t="s">
        <v>130</v>
      </c>
      <c r="C37" s="224" t="s">
        <v>108</v>
      </c>
      <c r="D37" s="225" t="s">
        <v>59</v>
      </c>
      <c r="E37" s="252">
        <v>650</v>
      </c>
      <c r="F37" s="252">
        <v>750</v>
      </c>
      <c r="G37" s="252">
        <v>1200</v>
      </c>
      <c r="H37" s="218">
        <f t="shared" si="1"/>
        <v>750</v>
      </c>
      <c r="I37" s="137"/>
      <c r="J37" s="138"/>
      <c r="K37" s="138"/>
      <c r="L37" s="124"/>
      <c r="M37" s="124"/>
      <c r="N37" s="124"/>
      <c r="O37" s="124"/>
    </row>
    <row r="38" spans="1:15" s="114" customFormat="1" x14ac:dyDescent="0.2">
      <c r="A38" s="253" t="s">
        <v>172</v>
      </c>
      <c r="B38" s="219" t="s">
        <v>131</v>
      </c>
      <c r="C38" s="224" t="s">
        <v>109</v>
      </c>
      <c r="D38" s="225" t="s">
        <v>55</v>
      </c>
      <c r="E38" s="252">
        <v>70</v>
      </c>
      <c r="F38" s="252">
        <v>74.8</v>
      </c>
      <c r="G38" s="252">
        <v>100</v>
      </c>
      <c r="H38" s="218">
        <f t="shared" si="1"/>
        <v>74.8</v>
      </c>
      <c r="I38" s="137"/>
      <c r="J38" s="138"/>
      <c r="K38" s="138"/>
      <c r="L38" s="124"/>
      <c r="M38" s="124"/>
      <c r="N38" s="124"/>
      <c r="O38" s="124"/>
    </row>
    <row r="39" spans="1:15" s="114" customFormat="1" ht="25.5" x14ac:dyDescent="0.2">
      <c r="A39" s="253" t="s">
        <v>173</v>
      </c>
      <c r="B39" s="219" t="s">
        <v>132</v>
      </c>
      <c r="C39" s="224" t="s">
        <v>110</v>
      </c>
      <c r="D39" s="225" t="s">
        <v>55</v>
      </c>
      <c r="E39" s="252">
        <v>50</v>
      </c>
      <c r="F39" s="252">
        <v>74.8</v>
      </c>
      <c r="G39" s="252">
        <v>95</v>
      </c>
      <c r="H39" s="218">
        <f t="shared" si="1"/>
        <v>74.8</v>
      </c>
      <c r="I39" s="137"/>
      <c r="J39" s="138"/>
      <c r="K39" s="138"/>
      <c r="L39" s="124"/>
      <c r="M39" s="124"/>
      <c r="N39" s="124"/>
      <c r="O39" s="124"/>
    </row>
    <row r="40" spans="1:15" s="114" customFormat="1" x14ac:dyDescent="0.2">
      <c r="A40" s="253" t="s">
        <v>174</v>
      </c>
      <c r="B40" s="219" t="s">
        <v>133</v>
      </c>
      <c r="C40" s="224" t="s">
        <v>111</v>
      </c>
      <c r="D40" s="225" t="s">
        <v>57</v>
      </c>
      <c r="E40" s="252">
        <v>30</v>
      </c>
      <c r="F40" s="252">
        <v>35</v>
      </c>
      <c r="G40" s="252">
        <v>44</v>
      </c>
      <c r="H40" s="218">
        <f t="shared" si="1"/>
        <v>35</v>
      </c>
      <c r="I40" s="137"/>
      <c r="J40" s="138"/>
      <c r="K40" s="138"/>
      <c r="L40" s="124"/>
      <c r="M40" s="124"/>
      <c r="N40" s="124"/>
      <c r="O40" s="124"/>
    </row>
    <row r="41" spans="1:15" s="114" customFormat="1" x14ac:dyDescent="0.2">
      <c r="A41" s="253" t="s">
        <v>175</v>
      </c>
      <c r="B41" s="219" t="s">
        <v>134</v>
      </c>
      <c r="C41" s="224" t="s">
        <v>151</v>
      </c>
      <c r="D41" s="225" t="s">
        <v>35</v>
      </c>
      <c r="E41" s="252">
        <v>450</v>
      </c>
      <c r="F41" s="252">
        <v>280</v>
      </c>
      <c r="G41" s="252">
        <v>160</v>
      </c>
      <c r="H41" s="218">
        <f t="shared" si="1"/>
        <v>280</v>
      </c>
      <c r="I41" s="137"/>
      <c r="J41" s="138"/>
      <c r="K41" s="138"/>
      <c r="L41" s="124"/>
      <c r="M41" s="124"/>
      <c r="N41" s="124"/>
      <c r="O41" s="124"/>
    </row>
    <row r="42" spans="1:15" s="114" customFormat="1" ht="25.5" x14ac:dyDescent="0.2">
      <c r="A42" s="253" t="s">
        <v>176</v>
      </c>
      <c r="B42" s="219" t="s">
        <v>135</v>
      </c>
      <c r="C42" s="224" t="s">
        <v>112</v>
      </c>
      <c r="D42" s="225" t="s">
        <v>107</v>
      </c>
      <c r="E42" s="252">
        <v>1750</v>
      </c>
      <c r="F42" s="252">
        <v>2912</v>
      </c>
      <c r="G42" s="252">
        <v>2036.1</v>
      </c>
      <c r="H42" s="218">
        <f t="shared" si="1"/>
        <v>2036.1</v>
      </c>
      <c r="I42" s="137"/>
      <c r="J42" s="138"/>
      <c r="K42" s="138"/>
      <c r="L42" s="124"/>
      <c r="M42" s="124"/>
      <c r="N42" s="124"/>
      <c r="O42" s="124"/>
    </row>
    <row r="43" spans="1:15" s="114" customFormat="1" x14ac:dyDescent="0.2">
      <c r="A43" s="253" t="s">
        <v>177</v>
      </c>
      <c r="B43" s="219" t="s">
        <v>136</v>
      </c>
      <c r="C43" s="224" t="s">
        <v>113</v>
      </c>
      <c r="D43" s="225" t="s">
        <v>49</v>
      </c>
      <c r="E43" s="252">
        <v>10</v>
      </c>
      <c r="F43" s="252">
        <v>22</v>
      </c>
      <c r="G43" s="252">
        <v>13.6</v>
      </c>
      <c r="H43" s="218">
        <f t="shared" si="1"/>
        <v>13.6</v>
      </c>
      <c r="I43" s="137"/>
      <c r="J43" s="138"/>
      <c r="K43" s="138"/>
      <c r="L43" s="124"/>
      <c r="M43" s="124"/>
      <c r="N43" s="124"/>
      <c r="O43" s="124"/>
    </row>
    <row r="44" spans="1:15" s="114" customFormat="1" x14ac:dyDescent="0.2">
      <c r="A44" s="253" t="s">
        <v>178</v>
      </c>
      <c r="B44" s="219" t="s">
        <v>137</v>
      </c>
      <c r="C44" s="224" t="s">
        <v>114</v>
      </c>
      <c r="D44" s="225" t="s">
        <v>107</v>
      </c>
      <c r="E44" s="252">
        <v>10</v>
      </c>
      <c r="F44" s="252">
        <v>18</v>
      </c>
      <c r="G44" s="252">
        <v>15.4</v>
      </c>
      <c r="H44" s="218">
        <f t="shared" si="1"/>
        <v>15.4</v>
      </c>
      <c r="I44" s="137"/>
      <c r="J44" s="138"/>
      <c r="K44" s="138"/>
      <c r="L44" s="124"/>
      <c r="M44" s="124"/>
      <c r="N44" s="124"/>
      <c r="O44" s="124"/>
    </row>
    <row r="45" spans="1:15" s="114" customFormat="1" x14ac:dyDescent="0.2">
      <c r="A45" s="253" t="s">
        <v>179</v>
      </c>
      <c r="B45" s="219" t="s">
        <v>138</v>
      </c>
      <c r="C45" s="224" t="s">
        <v>115</v>
      </c>
      <c r="D45" s="225" t="s">
        <v>107</v>
      </c>
      <c r="E45" s="252">
        <v>15</v>
      </c>
      <c r="F45" s="252">
        <v>22</v>
      </c>
      <c r="G45" s="252">
        <v>23.7</v>
      </c>
      <c r="H45" s="218">
        <f t="shared" si="1"/>
        <v>22</v>
      </c>
      <c r="I45" s="137"/>
      <c r="J45" s="138"/>
      <c r="K45" s="138"/>
      <c r="L45" s="124"/>
      <c r="M45" s="124"/>
      <c r="N45" s="124"/>
      <c r="O45" s="124"/>
    </row>
    <row r="46" spans="1:15" s="114" customFormat="1" x14ac:dyDescent="0.2">
      <c r="A46" s="253" t="s">
        <v>180</v>
      </c>
      <c r="B46" s="219" t="s">
        <v>139</v>
      </c>
      <c r="C46" s="224" t="s">
        <v>116</v>
      </c>
      <c r="D46" s="225" t="s">
        <v>57</v>
      </c>
      <c r="E46" s="252">
        <v>30</v>
      </c>
      <c r="F46" s="252">
        <v>18</v>
      </c>
      <c r="G46" s="252">
        <v>22.4</v>
      </c>
      <c r="H46" s="218">
        <f t="shared" si="1"/>
        <v>22.4</v>
      </c>
      <c r="I46" s="137"/>
      <c r="J46" s="138"/>
      <c r="K46" s="138"/>
      <c r="L46" s="124"/>
      <c r="M46" s="124"/>
      <c r="N46" s="124"/>
      <c r="O46" s="124"/>
    </row>
    <row r="47" spans="1:15" s="114" customFormat="1" x14ac:dyDescent="0.2">
      <c r="A47" s="253" t="s">
        <v>181</v>
      </c>
      <c r="B47" s="219" t="s">
        <v>140</v>
      </c>
      <c r="C47" s="224" t="s">
        <v>117</v>
      </c>
      <c r="D47" s="225" t="s">
        <v>49</v>
      </c>
      <c r="E47" s="252">
        <v>4</v>
      </c>
      <c r="F47" s="252">
        <v>10</v>
      </c>
      <c r="G47" s="252">
        <v>3.84</v>
      </c>
      <c r="H47" s="218">
        <f t="shared" si="1"/>
        <v>4</v>
      </c>
      <c r="I47" s="137"/>
      <c r="J47" s="138"/>
      <c r="K47" s="138"/>
      <c r="L47" s="124"/>
      <c r="M47" s="124"/>
      <c r="N47" s="124"/>
      <c r="O47" s="124"/>
    </row>
    <row r="48" spans="1:15" s="114" customFormat="1" x14ac:dyDescent="0.2">
      <c r="A48" s="253" t="s">
        <v>182</v>
      </c>
      <c r="B48" s="219" t="s">
        <v>141</v>
      </c>
      <c r="C48" s="224" t="s">
        <v>118</v>
      </c>
      <c r="D48" s="225" t="s">
        <v>107</v>
      </c>
      <c r="E48" s="252">
        <v>500</v>
      </c>
      <c r="F48" s="252">
        <v>600</v>
      </c>
      <c r="G48" s="252">
        <v>1156.0999999999999</v>
      </c>
      <c r="H48" s="218">
        <f t="shared" si="1"/>
        <v>600</v>
      </c>
      <c r="I48" s="137"/>
      <c r="J48" s="138"/>
      <c r="K48" s="138"/>
      <c r="L48" s="124"/>
      <c r="M48" s="124"/>
      <c r="N48" s="124"/>
      <c r="O48" s="124"/>
    </row>
    <row r="49" spans="1:15" s="114" customFormat="1" x14ac:dyDescent="0.2">
      <c r="A49" s="253" t="s">
        <v>183</v>
      </c>
      <c r="B49" s="219" t="s">
        <v>142</v>
      </c>
      <c r="C49" s="224" t="s">
        <v>119</v>
      </c>
      <c r="D49" s="225" t="s">
        <v>189</v>
      </c>
      <c r="E49" s="252">
        <v>40</v>
      </c>
      <c r="F49" s="252">
        <v>65</v>
      </c>
      <c r="G49" s="252">
        <v>80</v>
      </c>
      <c r="H49" s="218">
        <f t="shared" si="1"/>
        <v>65</v>
      </c>
      <c r="I49" s="137"/>
      <c r="J49" s="138"/>
      <c r="K49" s="138"/>
      <c r="L49" s="124"/>
      <c r="M49" s="124"/>
      <c r="N49" s="124"/>
      <c r="O49" s="124"/>
    </row>
    <row r="50" spans="1:15" s="114" customFormat="1" x14ac:dyDescent="0.2">
      <c r="A50" s="253" t="s">
        <v>184</v>
      </c>
      <c r="B50" s="219" t="s">
        <v>143</v>
      </c>
      <c r="C50" s="224" t="s">
        <v>120</v>
      </c>
      <c r="D50" s="225" t="s">
        <v>48</v>
      </c>
      <c r="E50" s="252">
        <v>80</v>
      </c>
      <c r="F50" s="252">
        <v>20</v>
      </c>
      <c r="G50" s="252">
        <v>180</v>
      </c>
      <c r="H50" s="218">
        <f t="shared" si="1"/>
        <v>80</v>
      </c>
      <c r="I50" s="137"/>
      <c r="J50" s="138"/>
      <c r="K50" s="138"/>
      <c r="L50" s="124"/>
      <c r="M50" s="124"/>
      <c r="N50" s="124"/>
      <c r="O50" s="124"/>
    </row>
    <row r="51" spans="1:15" s="114" customFormat="1" x14ac:dyDescent="0.2">
      <c r="A51" s="253" t="s">
        <v>185</v>
      </c>
      <c r="B51" s="219" t="s">
        <v>144</v>
      </c>
      <c r="C51" s="224" t="s">
        <v>121</v>
      </c>
      <c r="D51" s="225" t="s">
        <v>107</v>
      </c>
      <c r="E51" s="252">
        <v>140</v>
      </c>
      <c r="F51" s="252">
        <v>80</v>
      </c>
      <c r="G51" s="252">
        <v>192</v>
      </c>
      <c r="H51" s="218">
        <f t="shared" si="1"/>
        <v>140</v>
      </c>
      <c r="I51" s="137"/>
      <c r="J51" s="138"/>
      <c r="K51" s="138"/>
      <c r="L51" s="124"/>
      <c r="M51" s="124"/>
      <c r="N51" s="124"/>
      <c r="O51" s="124"/>
    </row>
    <row r="52" spans="1:15" s="114" customFormat="1" x14ac:dyDescent="0.2">
      <c r="A52" s="253" t="s">
        <v>186</v>
      </c>
      <c r="B52" s="219" t="s">
        <v>145</v>
      </c>
      <c r="C52" s="224" t="s">
        <v>122</v>
      </c>
      <c r="D52" s="225" t="s">
        <v>189</v>
      </c>
      <c r="E52" s="252">
        <v>818</v>
      </c>
      <c r="F52" s="252">
        <v>400</v>
      </c>
      <c r="G52" s="252">
        <v>600</v>
      </c>
      <c r="H52" s="218">
        <f t="shared" si="1"/>
        <v>600</v>
      </c>
      <c r="I52" s="137"/>
      <c r="J52" s="138"/>
      <c r="K52" s="138"/>
      <c r="L52" s="124"/>
      <c r="M52" s="124"/>
      <c r="N52" s="124"/>
      <c r="O52" s="124"/>
    </row>
    <row r="53" spans="1:15" s="114" customFormat="1" x14ac:dyDescent="0.2">
      <c r="A53" s="253" t="s">
        <v>187</v>
      </c>
      <c r="B53" s="219" t="s">
        <v>146</v>
      </c>
      <c r="C53" s="224" t="s">
        <v>123</v>
      </c>
      <c r="D53" s="225" t="s">
        <v>107</v>
      </c>
      <c r="E53" s="252">
        <v>400</v>
      </c>
      <c r="F53" s="252">
        <v>770</v>
      </c>
      <c r="G53" s="252">
        <v>338.4</v>
      </c>
      <c r="H53" s="218">
        <f t="shared" si="1"/>
        <v>400</v>
      </c>
      <c r="I53" s="137"/>
      <c r="J53" s="138"/>
      <c r="K53" s="138"/>
      <c r="L53" s="124"/>
      <c r="M53" s="124"/>
      <c r="N53" s="124"/>
      <c r="O53" s="124"/>
    </row>
    <row r="54" spans="1:15" s="179" customFormat="1" x14ac:dyDescent="0.2">
      <c r="A54" s="223"/>
      <c r="B54" s="315" t="s">
        <v>192</v>
      </c>
      <c r="C54" s="315"/>
      <c r="D54" s="315"/>
      <c r="E54" s="315"/>
      <c r="F54" s="315"/>
      <c r="G54" s="315"/>
      <c r="H54" s="315"/>
      <c r="I54" s="180"/>
      <c r="J54" s="178"/>
      <c r="K54" s="178"/>
      <c r="L54" s="177"/>
      <c r="M54" s="177"/>
      <c r="N54" s="177"/>
      <c r="O54" s="177"/>
    </row>
    <row r="55" spans="1:15" s="114" customFormat="1" ht="25.5" x14ac:dyDescent="0.2">
      <c r="A55" s="220" t="s">
        <v>152</v>
      </c>
      <c r="B55" s="219" t="s">
        <v>147</v>
      </c>
      <c r="C55" s="224" t="s">
        <v>188</v>
      </c>
      <c r="D55" s="225" t="s">
        <v>37</v>
      </c>
      <c r="E55" s="226"/>
      <c r="F55" s="226"/>
      <c r="G55" s="226"/>
      <c r="H55" s="218">
        <v>402.6</v>
      </c>
      <c r="I55" s="137"/>
      <c r="J55" s="138"/>
      <c r="K55" s="138"/>
      <c r="L55" s="124"/>
      <c r="M55" s="124"/>
      <c r="N55" s="124"/>
      <c r="O55" s="124"/>
    </row>
    <row r="56" spans="1:15" s="114" customFormat="1" x14ac:dyDescent="0.2">
      <c r="A56" s="235"/>
      <c r="B56" s="243"/>
      <c r="C56" s="242"/>
      <c r="D56" s="241"/>
      <c r="E56" s="240"/>
      <c r="F56" s="240"/>
      <c r="G56" s="240"/>
      <c r="H56" s="251"/>
      <c r="I56" s="137"/>
      <c r="J56" s="138"/>
      <c r="K56" s="138"/>
      <c r="L56" s="124"/>
      <c r="M56" s="124"/>
      <c r="N56" s="124"/>
      <c r="O56" s="124"/>
    </row>
    <row r="57" spans="1:15" s="114" customFormat="1" x14ac:dyDescent="0.2">
      <c r="A57" s="222" t="s">
        <v>43</v>
      </c>
      <c r="B57" s="222" t="s">
        <v>26</v>
      </c>
      <c r="C57" s="215"/>
      <c r="D57" s="215"/>
      <c r="E57" s="221"/>
      <c r="F57" s="216"/>
      <c r="G57" s="221"/>
      <c r="H57" s="217"/>
      <c r="I57" s="137"/>
      <c r="J57" s="124"/>
      <c r="K57" s="124"/>
      <c r="L57" s="124"/>
      <c r="M57" s="124"/>
      <c r="N57" s="124"/>
      <c r="O57" s="124"/>
    </row>
    <row r="58" spans="1:15" s="114" customFormat="1" x14ac:dyDescent="0.2">
      <c r="A58" s="223"/>
      <c r="B58" s="315" t="s">
        <v>153</v>
      </c>
      <c r="C58" s="315"/>
      <c r="D58" s="315"/>
      <c r="E58" s="315"/>
      <c r="F58" s="315"/>
      <c r="G58" s="315"/>
      <c r="H58" s="315"/>
      <c r="I58" s="141"/>
      <c r="J58" s="124"/>
      <c r="K58" s="124"/>
      <c r="L58" s="124"/>
      <c r="M58" s="124"/>
      <c r="N58" s="124"/>
      <c r="O58" s="124"/>
    </row>
    <row r="59" spans="1:15" s="138" customFormat="1" ht="45" x14ac:dyDescent="0.2">
      <c r="A59" s="227" t="s">
        <v>161</v>
      </c>
      <c r="B59" s="227"/>
      <c r="C59" s="228" t="s">
        <v>160</v>
      </c>
      <c r="D59" s="250" t="s">
        <v>52</v>
      </c>
      <c r="E59" s="227" t="s">
        <v>156</v>
      </c>
      <c r="F59" s="227" t="s">
        <v>155</v>
      </c>
      <c r="G59" s="227" t="s">
        <v>154</v>
      </c>
      <c r="H59" s="227" t="s">
        <v>157</v>
      </c>
      <c r="I59" s="126"/>
    </row>
    <row r="60" spans="1:15" s="114" customFormat="1" ht="76.5" x14ac:dyDescent="0.2">
      <c r="A60" s="253" t="s">
        <v>191</v>
      </c>
      <c r="B60" s="219" t="s">
        <v>44</v>
      </c>
      <c r="C60" s="224" t="s">
        <v>190</v>
      </c>
      <c r="D60" s="225" t="s">
        <v>48</v>
      </c>
      <c r="E60" s="252">
        <v>3800</v>
      </c>
      <c r="F60" s="252">
        <v>3200</v>
      </c>
      <c r="G60" s="252">
        <v>4800</v>
      </c>
      <c r="H60" s="218">
        <f t="shared" ref="H60" si="2">MEDIAN(E60:G60)</f>
        <v>3800</v>
      </c>
      <c r="I60" s="137"/>
      <c r="J60" s="138"/>
      <c r="K60" s="138"/>
      <c r="L60" s="124"/>
      <c r="M60" s="124"/>
      <c r="N60" s="124"/>
      <c r="O60" s="124"/>
    </row>
    <row r="61" spans="1:15" s="114" customFormat="1" ht="63.75" x14ac:dyDescent="0.2">
      <c r="A61" s="253" t="s">
        <v>197</v>
      </c>
      <c r="B61" s="219" t="s">
        <v>45</v>
      </c>
      <c r="C61" s="224" t="s">
        <v>94</v>
      </c>
      <c r="D61" s="225" t="s">
        <v>35</v>
      </c>
      <c r="E61" s="252">
        <v>2100</v>
      </c>
      <c r="F61" s="252">
        <v>2500</v>
      </c>
      <c r="G61" s="252">
        <v>3000</v>
      </c>
      <c r="H61" s="218">
        <f>MEDIAN(E61:G61)</f>
        <v>2500</v>
      </c>
      <c r="I61" s="137"/>
      <c r="J61" s="138"/>
      <c r="K61" s="138"/>
      <c r="L61" s="124"/>
      <c r="M61" s="124"/>
      <c r="N61" s="124"/>
      <c r="O61" s="124"/>
    </row>
    <row r="62" spans="1:15" s="114" customFormat="1" x14ac:dyDescent="0.2">
      <c r="A62" s="222" t="s">
        <v>46</v>
      </c>
      <c r="B62" s="222"/>
      <c r="C62" s="215" t="s">
        <v>27</v>
      </c>
      <c r="D62" s="215"/>
      <c r="E62" s="221"/>
      <c r="F62" s="216"/>
      <c r="G62" s="221"/>
      <c r="H62" s="217"/>
      <c r="I62" s="137"/>
      <c r="J62" s="124"/>
      <c r="K62" s="124"/>
      <c r="L62" s="124"/>
      <c r="M62" s="124"/>
      <c r="N62" s="124"/>
      <c r="O62" s="124"/>
    </row>
    <row r="63" spans="1:15" s="114" customFormat="1" x14ac:dyDescent="0.2">
      <c r="A63" s="229" t="s">
        <v>70</v>
      </c>
      <c r="B63" s="229" t="s">
        <v>47</v>
      </c>
      <c r="C63" s="293" t="s">
        <v>193</v>
      </c>
      <c r="D63" s="290"/>
      <c r="E63" s="230"/>
      <c r="F63" s="230"/>
      <c r="G63" s="230"/>
      <c r="H63" s="277">
        <f>H68</f>
        <v>1027.22</v>
      </c>
      <c r="I63" s="126"/>
      <c r="J63" s="138"/>
      <c r="K63" s="138"/>
      <c r="L63" s="124"/>
      <c r="M63" s="124"/>
      <c r="N63" s="124"/>
      <c r="O63" s="144"/>
    </row>
    <row r="64" spans="1:15" x14ac:dyDescent="0.2">
      <c r="A64" s="136" t="s">
        <v>51</v>
      </c>
      <c r="B64" s="128" t="s">
        <v>7</v>
      </c>
      <c r="C64" s="294" t="s">
        <v>8</v>
      </c>
      <c r="D64" s="291"/>
      <c r="E64" s="128" t="s">
        <v>52</v>
      </c>
      <c r="F64" s="129" t="s">
        <v>53</v>
      </c>
      <c r="G64" s="128" t="s">
        <v>11</v>
      </c>
      <c r="H64" s="130" t="s">
        <v>16</v>
      </c>
      <c r="J64" s="127"/>
      <c r="K64" s="127"/>
    </row>
    <row r="65" spans="1:15" ht="24" x14ac:dyDescent="0.2">
      <c r="A65" s="49" t="s">
        <v>54</v>
      </c>
      <c r="B65" s="49">
        <v>90777</v>
      </c>
      <c r="C65" s="295" t="s">
        <v>71</v>
      </c>
      <c r="D65" s="292"/>
      <c r="E65" s="131" t="s">
        <v>55</v>
      </c>
      <c r="F65" s="132">
        <v>12</v>
      </c>
      <c r="G65" s="133">
        <v>69.86</v>
      </c>
      <c r="H65" s="134">
        <f>G65*F65</f>
        <v>838.31999999999994</v>
      </c>
      <c r="J65" s="127"/>
      <c r="K65" s="127"/>
    </row>
    <row r="66" spans="1:15" s="114" customFormat="1" x14ac:dyDescent="0.2">
      <c r="A66" s="174" t="s">
        <v>56</v>
      </c>
      <c r="B66" s="174" t="s">
        <v>72</v>
      </c>
      <c r="C66" s="295" t="s">
        <v>73</v>
      </c>
      <c r="D66" s="292"/>
      <c r="E66" s="131" t="s">
        <v>34</v>
      </c>
      <c r="F66" s="175">
        <v>4</v>
      </c>
      <c r="G66" s="133">
        <v>30</v>
      </c>
      <c r="H66" s="173">
        <f>G66*F66</f>
        <v>120</v>
      </c>
      <c r="I66" s="137"/>
      <c r="J66" s="138"/>
      <c r="K66" s="138"/>
      <c r="L66" s="124"/>
      <c r="M66" s="124"/>
      <c r="N66" s="124"/>
      <c r="O66" s="124"/>
    </row>
    <row r="67" spans="1:15" s="114" customFormat="1" x14ac:dyDescent="0.2">
      <c r="A67" s="174" t="s">
        <v>60</v>
      </c>
      <c r="B67" s="174" t="s">
        <v>61</v>
      </c>
      <c r="C67" s="295" t="s">
        <v>62</v>
      </c>
      <c r="D67" s="292"/>
      <c r="E67" s="131" t="s">
        <v>35</v>
      </c>
      <c r="F67" s="175">
        <v>1</v>
      </c>
      <c r="G67" s="133">
        <v>68.900000000000006</v>
      </c>
      <c r="H67" s="173">
        <f>G67*F67</f>
        <v>68.900000000000006</v>
      </c>
      <c r="I67" s="137"/>
      <c r="J67" s="138"/>
      <c r="K67" s="138"/>
      <c r="L67" s="124"/>
      <c r="M67" s="124"/>
      <c r="N67" s="124"/>
      <c r="O67" s="124"/>
    </row>
    <row r="68" spans="1:15" x14ac:dyDescent="0.2">
      <c r="A68" s="313" t="s">
        <v>58</v>
      </c>
      <c r="B68" s="313"/>
      <c r="C68" s="313"/>
      <c r="D68" s="313"/>
      <c r="E68" s="313"/>
      <c r="F68" s="313"/>
      <c r="G68" s="313"/>
      <c r="H68" s="135">
        <f>ROUND(SUM(H65:H67),2)</f>
        <v>1027.22</v>
      </c>
      <c r="I68" s="125"/>
      <c r="J68" s="127"/>
      <c r="K68" s="127"/>
    </row>
    <row r="69" spans="1:15" x14ac:dyDescent="0.2">
      <c r="I69" s="125"/>
      <c r="J69" s="127"/>
      <c r="K69" s="127"/>
    </row>
    <row r="70" spans="1:15" x14ac:dyDescent="0.2">
      <c r="C70" s="13"/>
      <c r="D70" s="13"/>
      <c r="E70" s="328"/>
      <c r="G70" s="328"/>
      <c r="I70" s="125"/>
      <c r="J70" s="127"/>
      <c r="K70" s="127"/>
    </row>
    <row r="71" spans="1:15" ht="15.75" x14ac:dyDescent="0.2">
      <c r="C71" s="10" t="s">
        <v>2</v>
      </c>
      <c r="D71" s="193"/>
      <c r="F71" s="278" t="s">
        <v>202</v>
      </c>
      <c r="I71" s="125"/>
      <c r="J71" s="127"/>
      <c r="K71" s="127"/>
    </row>
    <row r="72" spans="1:15" x14ac:dyDescent="0.2">
      <c r="C72" s="79" t="s">
        <v>3</v>
      </c>
      <c r="D72" s="79"/>
      <c r="F72" s="79" t="s">
        <v>203</v>
      </c>
      <c r="J72" s="127"/>
      <c r="K72" s="127"/>
    </row>
    <row r="73" spans="1:15" x14ac:dyDescent="0.2">
      <c r="C73" s="79" t="s">
        <v>4</v>
      </c>
      <c r="D73" s="79"/>
      <c r="F73" s="79" t="s">
        <v>204</v>
      </c>
      <c r="J73" s="127"/>
      <c r="K73" s="127"/>
    </row>
    <row r="74" spans="1:15" x14ac:dyDescent="0.2">
      <c r="C74" s="79" t="s">
        <v>5</v>
      </c>
      <c r="D74" s="79"/>
      <c r="F74" s="79" t="s">
        <v>205</v>
      </c>
      <c r="J74" s="127"/>
      <c r="K74" s="127"/>
    </row>
    <row r="75" spans="1:15" x14ac:dyDescent="0.2">
      <c r="J75" s="127"/>
      <c r="K75" s="127"/>
    </row>
    <row r="76" spans="1:15" ht="49.5" customHeight="1" x14ac:dyDescent="0.2">
      <c r="J76" s="127"/>
      <c r="K76" s="127"/>
    </row>
    <row r="77" spans="1:15" x14ac:dyDescent="0.2">
      <c r="J77" s="127"/>
      <c r="K77" s="127"/>
    </row>
    <row r="78" spans="1:15" x14ac:dyDescent="0.2">
      <c r="J78" s="127"/>
      <c r="K78" s="127"/>
    </row>
    <row r="79" spans="1:15" x14ac:dyDescent="0.2">
      <c r="J79" s="127"/>
      <c r="K79" s="127"/>
    </row>
    <row r="80" spans="1:15" x14ac:dyDescent="0.2">
      <c r="J80" s="127"/>
      <c r="K80" s="127"/>
    </row>
    <row r="81" spans="10:11" x14ac:dyDescent="0.2">
      <c r="J81" s="127"/>
      <c r="K81" s="127"/>
    </row>
    <row r="82" spans="10:11" x14ac:dyDescent="0.2">
      <c r="J82" s="127"/>
      <c r="K82" s="127"/>
    </row>
    <row r="83" spans="10:11" x14ac:dyDescent="0.2">
      <c r="J83" s="127"/>
      <c r="K83" s="127"/>
    </row>
    <row r="84" spans="10:11" ht="14.25" customHeight="1" x14ac:dyDescent="0.2">
      <c r="J84" s="127"/>
      <c r="K84" s="127"/>
    </row>
    <row r="85" spans="10:11" x14ac:dyDescent="0.2">
      <c r="J85" s="127"/>
      <c r="K85" s="127"/>
    </row>
    <row r="86" spans="10:11" x14ac:dyDescent="0.2">
      <c r="J86" s="127"/>
      <c r="K86" s="127"/>
    </row>
    <row r="87" spans="10:11" x14ac:dyDescent="0.2">
      <c r="J87" s="127"/>
      <c r="K87" s="127"/>
    </row>
    <row r="88" spans="10:11" x14ac:dyDescent="0.2">
      <c r="J88" s="127"/>
      <c r="K88" s="127"/>
    </row>
    <row r="89" spans="10:11" x14ac:dyDescent="0.2">
      <c r="J89" s="127"/>
      <c r="K89" s="127"/>
    </row>
    <row r="90" spans="10:11" x14ac:dyDescent="0.2">
      <c r="J90" s="127"/>
      <c r="K90" s="127"/>
    </row>
    <row r="91" spans="10:11" x14ac:dyDescent="0.2">
      <c r="J91" s="127"/>
      <c r="K91" s="127"/>
    </row>
    <row r="92" spans="10:11" x14ac:dyDescent="0.2">
      <c r="J92" s="127"/>
      <c r="K92" s="127"/>
    </row>
    <row r="93" spans="10:11" x14ac:dyDescent="0.2">
      <c r="J93" s="127"/>
      <c r="K93" s="127"/>
    </row>
    <row r="94" spans="10:11" x14ac:dyDescent="0.2">
      <c r="J94" s="127"/>
      <c r="K94" s="127"/>
    </row>
    <row r="95" spans="10:11" x14ac:dyDescent="0.2">
      <c r="J95" s="127"/>
      <c r="K95" s="127"/>
    </row>
    <row r="96" spans="10:11" x14ac:dyDescent="0.2">
      <c r="J96" s="127"/>
      <c r="K96" s="127"/>
    </row>
    <row r="97" spans="10:11" x14ac:dyDescent="0.2">
      <c r="J97" s="127"/>
      <c r="K97" s="127"/>
    </row>
    <row r="98" spans="10:11" x14ac:dyDescent="0.2">
      <c r="J98" s="127"/>
      <c r="K98" s="127"/>
    </row>
    <row r="99" spans="10:11" x14ac:dyDescent="0.2">
      <c r="J99" s="127"/>
      <c r="K99" s="127"/>
    </row>
    <row r="100" spans="10:11" x14ac:dyDescent="0.2">
      <c r="J100" s="127"/>
      <c r="K100" s="127"/>
    </row>
    <row r="101" spans="10:11" x14ac:dyDescent="0.2">
      <c r="J101" s="127"/>
      <c r="K101" s="127"/>
    </row>
    <row r="102" spans="10:11" x14ac:dyDescent="0.2">
      <c r="J102" s="127"/>
      <c r="K102" s="127"/>
    </row>
    <row r="103" spans="10:11" x14ac:dyDescent="0.2">
      <c r="J103" s="127"/>
      <c r="K103" s="127"/>
    </row>
    <row r="104" spans="10:11" x14ac:dyDescent="0.2">
      <c r="J104" s="127"/>
      <c r="K104" s="127"/>
    </row>
    <row r="105" spans="10:11" x14ac:dyDescent="0.2">
      <c r="J105" s="127"/>
      <c r="K105" s="127"/>
    </row>
    <row r="106" spans="10:11" x14ac:dyDescent="0.2">
      <c r="J106" s="127"/>
      <c r="K106" s="127"/>
    </row>
    <row r="107" spans="10:11" x14ac:dyDescent="0.2">
      <c r="J107" s="127"/>
      <c r="K107" s="127"/>
    </row>
    <row r="108" spans="10:11" x14ac:dyDescent="0.2">
      <c r="J108" s="127"/>
      <c r="K108" s="127"/>
    </row>
    <row r="109" spans="10:11" x14ac:dyDescent="0.2">
      <c r="J109" s="127"/>
      <c r="K109" s="127"/>
    </row>
    <row r="110" spans="10:11" x14ac:dyDescent="0.2">
      <c r="J110" s="127"/>
      <c r="K110" s="127"/>
    </row>
    <row r="111" spans="10:11" x14ac:dyDescent="0.2">
      <c r="J111" s="127"/>
      <c r="K111" s="127"/>
    </row>
    <row r="112" spans="10:11" x14ac:dyDescent="0.2">
      <c r="J112" s="127"/>
      <c r="K112" s="127"/>
    </row>
    <row r="113" spans="10:11" x14ac:dyDescent="0.2">
      <c r="J113" s="127"/>
      <c r="K113" s="127"/>
    </row>
    <row r="114" spans="10:11" x14ac:dyDescent="0.2">
      <c r="J114" s="127"/>
      <c r="K114" s="127"/>
    </row>
    <row r="115" spans="10:11" x14ac:dyDescent="0.2">
      <c r="J115" s="127"/>
      <c r="K115" s="127"/>
    </row>
    <row r="116" spans="10:11" x14ac:dyDescent="0.2">
      <c r="J116" s="127"/>
      <c r="K116" s="127"/>
    </row>
    <row r="117" spans="10:11" x14ac:dyDescent="0.2">
      <c r="J117" s="127"/>
      <c r="K117" s="127"/>
    </row>
    <row r="118" spans="10:11" x14ac:dyDescent="0.2">
      <c r="J118" s="127"/>
      <c r="K118" s="127"/>
    </row>
    <row r="119" spans="10:11" x14ac:dyDescent="0.2">
      <c r="J119" s="127"/>
      <c r="K119" s="127"/>
    </row>
    <row r="120" spans="10:11" x14ac:dyDescent="0.2">
      <c r="J120" s="127"/>
      <c r="K120" s="127"/>
    </row>
    <row r="121" spans="10:11" x14ac:dyDescent="0.2">
      <c r="J121" s="127"/>
      <c r="K121" s="127"/>
    </row>
    <row r="122" spans="10:11" x14ac:dyDescent="0.2">
      <c r="J122" s="127"/>
      <c r="K122" s="127"/>
    </row>
    <row r="123" spans="10:11" x14ac:dyDescent="0.2">
      <c r="J123" s="127"/>
      <c r="K123" s="127"/>
    </row>
    <row r="124" spans="10:11" x14ac:dyDescent="0.2">
      <c r="J124" s="127"/>
      <c r="K124" s="127"/>
    </row>
    <row r="125" spans="10:11" x14ac:dyDescent="0.2">
      <c r="J125" s="127"/>
      <c r="K125" s="127"/>
    </row>
  </sheetData>
  <mergeCells count="10">
    <mergeCell ref="A5:H5"/>
    <mergeCell ref="A6:H6"/>
    <mergeCell ref="B8:H8"/>
    <mergeCell ref="A21:G21"/>
    <mergeCell ref="A27:G27"/>
    <mergeCell ref="A68:G68"/>
    <mergeCell ref="B15:H15"/>
    <mergeCell ref="B30:H30"/>
    <mergeCell ref="B54:H54"/>
    <mergeCell ref="B58:H58"/>
  </mergeCells>
  <printOptions horizontalCentered="1"/>
  <pageMargins left="0.196527777777778" right="0.196527777777778" top="1.1416666666666699" bottom="1.1416666666666699" header="0.51180555555555496" footer="0.51180555555555496"/>
  <pageSetup paperSize="9" scale="90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I15" sqref="I15"/>
    </sheetView>
  </sheetViews>
  <sheetFormatPr defaultRowHeight="15" x14ac:dyDescent="0.25"/>
  <cols>
    <col min="1" max="1" width="8.375" customWidth="1"/>
    <col min="2" max="2" width="22.375" customWidth="1"/>
    <col min="3" max="5" width="11.625" customWidth="1"/>
    <col min="6" max="6" width="10.625" hidden="1" customWidth="1"/>
    <col min="7" max="12" width="15.625" style="146" customWidth="1"/>
    <col min="13" max="1017" width="15.625" customWidth="1"/>
    <col min="1018" max="1019" width="9" customWidth="1"/>
  </cols>
  <sheetData>
    <row r="1" spans="1:15" s="114" customFormat="1" ht="35.25" customHeight="1" x14ac:dyDescent="0.25">
      <c r="G1" s="146"/>
      <c r="H1" s="146"/>
      <c r="I1" s="146"/>
      <c r="J1" s="146"/>
      <c r="K1" s="146"/>
      <c r="L1" s="146"/>
    </row>
    <row r="2" spans="1:15" s="114" customFormat="1" ht="26.25" customHeight="1" x14ac:dyDescent="0.25">
      <c r="G2" s="146"/>
      <c r="H2" s="146"/>
      <c r="I2" s="146"/>
      <c r="J2" s="146"/>
      <c r="K2" s="146"/>
      <c r="L2" s="146"/>
    </row>
    <row r="3" spans="1:15" s="147" customFormat="1" ht="12.75" x14ac:dyDescent="0.2">
      <c r="B3" s="176" t="s">
        <v>74</v>
      </c>
      <c r="D3" s="182"/>
      <c r="G3" s="148"/>
      <c r="H3" s="148"/>
      <c r="I3" s="148"/>
      <c r="J3" s="148"/>
      <c r="K3" s="148"/>
      <c r="L3" s="148"/>
    </row>
    <row r="4" spans="1:15" s="147" customFormat="1" ht="16.5" customHeight="1" x14ac:dyDescent="0.2">
      <c r="A4" s="149"/>
      <c r="B4" s="149"/>
      <c r="C4" s="149"/>
      <c r="D4" s="149"/>
      <c r="E4" s="149"/>
      <c r="G4" s="148"/>
      <c r="H4" s="148"/>
      <c r="I4" s="148"/>
      <c r="J4" s="148"/>
      <c r="K4" s="148"/>
      <c r="L4" s="148"/>
    </row>
    <row r="5" spans="1:15" s="147" customFormat="1" ht="12.75" x14ac:dyDescent="0.2">
      <c r="A5" s="150" t="s">
        <v>6</v>
      </c>
      <c r="B5" s="151" t="s">
        <v>75</v>
      </c>
      <c r="C5" s="151" t="s">
        <v>76</v>
      </c>
      <c r="D5" s="151" t="s">
        <v>77</v>
      </c>
      <c r="E5" s="151" t="s">
        <v>78</v>
      </c>
      <c r="G5" s="152" t="s">
        <v>16</v>
      </c>
      <c r="H5" s="148"/>
      <c r="I5" s="148"/>
      <c r="J5" s="148"/>
      <c r="K5" s="148"/>
      <c r="L5" s="148"/>
    </row>
    <row r="6" spans="1:15" s="147" customFormat="1" ht="23.25" customHeight="1" x14ac:dyDescent="0.2">
      <c r="A6" s="321" t="str">
        <f>PLANILHA_UNIFICADA!A14</f>
        <v>01.</v>
      </c>
      <c r="B6" s="321" t="str">
        <f>PLANILHA_UNIFICADA!C14</f>
        <v>SERVIÇOS PRELIMINARES</v>
      </c>
      <c r="C6" s="153">
        <f>PLANILHA_UNIFICADA!K14</f>
        <v>0.88372798709307199</v>
      </c>
      <c r="D6" s="153">
        <f>PLANILHA_UNIFICADA!L14</f>
        <v>0</v>
      </c>
      <c r="E6" s="153">
        <f>PLANILHA_UNIFICADA!M14</f>
        <v>0.116272012906928</v>
      </c>
      <c r="F6" s="154"/>
      <c r="G6" s="323">
        <f>PLANILHA_UNIFICADA!I14</f>
        <v>6656.89</v>
      </c>
      <c r="H6" s="148"/>
      <c r="I6" s="326"/>
      <c r="J6" s="326"/>
      <c r="K6" s="326"/>
      <c r="L6" s="148"/>
    </row>
    <row r="7" spans="1:15" s="147" customFormat="1" ht="23.25" customHeight="1" x14ac:dyDescent="0.2">
      <c r="A7" s="321"/>
      <c r="B7" s="321"/>
      <c r="C7" s="155">
        <f>$G6*C6</f>
        <v>5882.88</v>
      </c>
      <c r="D7" s="155">
        <f>$G6*D6</f>
        <v>0</v>
      </c>
      <c r="E7" s="155">
        <f>$G6*E6</f>
        <v>774.01</v>
      </c>
      <c r="F7" s="156"/>
      <c r="G7" s="323"/>
      <c r="H7" s="148"/>
      <c r="I7" s="148"/>
      <c r="J7" s="148"/>
      <c r="K7" s="148"/>
      <c r="L7" s="148"/>
    </row>
    <row r="8" spans="1:15" s="147" customFormat="1" ht="23.25" customHeight="1" x14ac:dyDescent="0.2">
      <c r="A8" s="324" t="str">
        <f>PLANILHA_UNIFICADA!A22</f>
        <v>02.</v>
      </c>
      <c r="B8" s="324" t="str">
        <f>PLANILHA_UNIFICADA!C22</f>
        <v>INSTALAÇÃO HIDRO SANITÁRIA</v>
      </c>
      <c r="C8" s="157">
        <f>PLANILHA_UNIFICADA!K22</f>
        <v>0</v>
      </c>
      <c r="D8" s="157">
        <f>PLANILHA_UNIFICADA!L22</f>
        <v>1</v>
      </c>
      <c r="E8" s="157">
        <f>PLANILHA_UNIFICADA!M22</f>
        <v>0</v>
      </c>
      <c r="F8" s="154">
        <v>1</v>
      </c>
      <c r="G8" s="325">
        <f>PLANILHA_UNIFICADA!I22</f>
        <v>29548.05</v>
      </c>
      <c r="H8" s="148"/>
      <c r="I8" s="148"/>
      <c r="J8" s="148"/>
      <c r="K8" s="148"/>
      <c r="L8" s="148"/>
    </row>
    <row r="9" spans="1:15" s="147" customFormat="1" ht="23.25" customHeight="1" x14ac:dyDescent="0.2">
      <c r="A9" s="324"/>
      <c r="B9" s="324"/>
      <c r="C9" s="158">
        <f>$G8*C8</f>
        <v>0</v>
      </c>
      <c r="D9" s="158">
        <f>$G8*D8</f>
        <v>29548.05</v>
      </c>
      <c r="E9" s="158">
        <f>$G8*E8</f>
        <v>0</v>
      </c>
      <c r="F9" s="156">
        <v>258.66000000000003</v>
      </c>
      <c r="G9" s="325"/>
      <c r="H9" s="148"/>
      <c r="I9" s="148"/>
      <c r="J9" s="148"/>
      <c r="K9" s="148"/>
      <c r="L9" s="148"/>
    </row>
    <row r="10" spans="1:15" s="147" customFormat="1" ht="23.25" customHeight="1" x14ac:dyDescent="0.2">
      <c r="A10" s="321" t="str">
        <f>PLANILHA_UNIFICADA!A47</f>
        <v>03.</v>
      </c>
      <c r="B10" s="321" t="str">
        <f>PLANILHA_UNIFICADA!C47</f>
        <v>SERVIÇOS COMPLEMENTARES</v>
      </c>
      <c r="C10" s="153">
        <f>PLANILHA_UNIFICADA!K47</f>
        <v>7.9365079365079361E-2</v>
      </c>
      <c r="D10" s="153">
        <f>PLANILHA_UNIFICADA!L47</f>
        <v>0</v>
      </c>
      <c r="E10" s="153">
        <f>PLANILHA_UNIFICADA!M47</f>
        <v>0.92063492063492058</v>
      </c>
      <c r="F10" s="154">
        <v>2</v>
      </c>
      <c r="G10" s="322">
        <f>PLANILHA_UNIFICADA!I47</f>
        <v>7802.55</v>
      </c>
      <c r="H10" s="159"/>
      <c r="I10" s="159"/>
      <c r="J10" s="159"/>
      <c r="K10" s="159"/>
      <c r="L10" s="159"/>
      <c r="M10" s="159"/>
      <c r="N10" s="159"/>
      <c r="O10" s="159"/>
    </row>
    <row r="11" spans="1:15" s="147" customFormat="1" ht="23.25" customHeight="1" x14ac:dyDescent="0.2">
      <c r="A11" s="321"/>
      <c r="B11" s="321"/>
      <c r="C11" s="155">
        <f>$G10*C10</f>
        <v>619.25</v>
      </c>
      <c r="D11" s="155">
        <f>$G10*D10</f>
        <v>0</v>
      </c>
      <c r="E11" s="155">
        <f>$G10*E10</f>
        <v>7183.3</v>
      </c>
      <c r="F11" s="156"/>
      <c r="G11" s="322"/>
      <c r="H11" s="148"/>
      <c r="I11" s="148"/>
      <c r="J11" s="148"/>
      <c r="K11" s="148"/>
      <c r="L11" s="148"/>
    </row>
    <row r="12" spans="1:15" s="147" customFormat="1" ht="14.85" customHeight="1" x14ac:dyDescent="0.2">
      <c r="A12" s="321" t="str">
        <f>PLANILHA_UNIFICADA!A51</f>
        <v>04.</v>
      </c>
      <c r="B12" s="321" t="str">
        <f>PLANILHA_UNIFICADA!C51</f>
        <v>GERENCIAMENTO DE OBRAS/FISCALIZAÇÃO</v>
      </c>
      <c r="C12" s="153">
        <f>PLANILHA_UNIFICADA!K51</f>
        <v>0.14775053064830557</v>
      </c>
      <c r="D12" s="153">
        <f>PLANILHA_UNIFICADA!L51</f>
        <v>0.67143229482072253</v>
      </c>
      <c r="E12" s="153">
        <f>PLANILHA_UNIFICADA!M51</f>
        <v>0.1808171745309719</v>
      </c>
      <c r="F12" s="154">
        <v>2</v>
      </c>
      <c r="G12" s="322">
        <f>PLANILHA_UNIFICADA!I51</f>
        <v>1272.21</v>
      </c>
      <c r="H12" s="159"/>
      <c r="I12" s="159"/>
      <c r="J12" s="159"/>
      <c r="K12" s="159"/>
      <c r="L12" s="159"/>
      <c r="M12" s="159"/>
      <c r="N12" s="159"/>
      <c r="O12" s="159"/>
    </row>
    <row r="13" spans="1:15" s="147" customFormat="1" ht="12.75" x14ac:dyDescent="0.2">
      <c r="A13" s="321"/>
      <c r="B13" s="321"/>
      <c r="C13" s="155">
        <f>$G12*C12</f>
        <v>187.96970259608082</v>
      </c>
      <c r="D13" s="155">
        <f>$G12*D12</f>
        <v>854.20287979387149</v>
      </c>
      <c r="E13" s="155">
        <f>$G12*E12</f>
        <v>230.03741761004778</v>
      </c>
      <c r="F13" s="156"/>
      <c r="G13" s="322"/>
      <c r="H13" s="148"/>
      <c r="I13" s="148"/>
      <c r="J13" s="148"/>
      <c r="K13" s="148"/>
      <c r="L13" s="148"/>
    </row>
    <row r="14" spans="1:15" s="147" customFormat="1" ht="14.85" customHeight="1" x14ac:dyDescent="0.2">
      <c r="A14" s="319" t="s">
        <v>79</v>
      </c>
      <c r="B14" s="160" t="s">
        <v>80</v>
      </c>
      <c r="C14" s="161">
        <f>C13+C9+C7+C11</f>
        <v>6690.0997025960805</v>
      </c>
      <c r="D14" s="161">
        <f t="shared" ref="D14:F14" si="0">D13+D9+D7+D11</f>
        <v>30402.252879793872</v>
      </c>
      <c r="E14" s="161">
        <f t="shared" si="0"/>
        <v>8187.3474176100481</v>
      </c>
      <c r="F14" s="161">
        <f t="shared" si="0"/>
        <v>258.66000000000003</v>
      </c>
      <c r="G14" s="320">
        <f>SUM(G6:G13)</f>
        <v>45279.700000000004</v>
      </c>
      <c r="H14" s="148"/>
      <c r="I14" s="148"/>
      <c r="J14" s="148"/>
      <c r="K14" s="148"/>
      <c r="L14" s="148"/>
    </row>
    <row r="15" spans="1:15" s="147" customFormat="1" ht="12.75" x14ac:dyDescent="0.2">
      <c r="A15" s="319"/>
      <c r="B15" s="162" t="s">
        <v>81</v>
      </c>
      <c r="C15" s="157">
        <f>C14/$G14</f>
        <v>0.14775053064830554</v>
      </c>
      <c r="D15" s="157">
        <f>D14/$G14</f>
        <v>0.67143229482072253</v>
      </c>
      <c r="E15" s="157">
        <f>E14/$G14</f>
        <v>0.18081717453097187</v>
      </c>
      <c r="F15" s="163"/>
      <c r="G15" s="320"/>
      <c r="H15" s="148"/>
      <c r="I15" s="148"/>
      <c r="J15" s="148"/>
      <c r="K15" s="148"/>
      <c r="L15" s="148"/>
    </row>
    <row r="16" spans="1:15" s="147" customFormat="1" ht="12.75" x14ac:dyDescent="0.2">
      <c r="A16" s="319"/>
      <c r="B16" s="160" t="s">
        <v>82</v>
      </c>
      <c r="C16" s="161">
        <f>C14</f>
        <v>6690.0997025960805</v>
      </c>
      <c r="D16" s="161">
        <f t="shared" ref="D16:E17" si="1">D14+C16</f>
        <v>37092.352582389954</v>
      </c>
      <c r="E16" s="161">
        <f t="shared" si="1"/>
        <v>45279.700000000004</v>
      </c>
      <c r="F16" s="154"/>
      <c r="G16" s="320"/>
      <c r="H16" s="148"/>
      <c r="I16" s="148"/>
      <c r="J16" s="148"/>
      <c r="K16" s="148"/>
      <c r="L16" s="148"/>
    </row>
    <row r="17" spans="1:12" s="147" customFormat="1" ht="12.75" x14ac:dyDescent="0.2">
      <c r="A17" s="319"/>
      <c r="B17" s="162" t="s">
        <v>83</v>
      </c>
      <c r="C17" s="157">
        <f>C15</f>
        <v>0.14775053064830554</v>
      </c>
      <c r="D17" s="157">
        <f>D15+C17</f>
        <v>0.8191828254690281</v>
      </c>
      <c r="E17" s="157">
        <f t="shared" si="1"/>
        <v>1</v>
      </c>
      <c r="F17" s="154"/>
      <c r="G17" s="320"/>
      <c r="H17" s="148"/>
      <c r="I17" s="148"/>
      <c r="J17" s="148"/>
      <c r="K17" s="148"/>
      <c r="L17" s="148"/>
    </row>
    <row r="18" spans="1:12" s="147" customFormat="1" ht="12.75" x14ac:dyDescent="0.2">
      <c r="A18" s="164"/>
      <c r="B18" s="165"/>
      <c r="G18" s="148"/>
      <c r="H18" s="148"/>
      <c r="I18" s="148"/>
      <c r="J18" s="148"/>
      <c r="K18" s="148"/>
      <c r="L18" s="148"/>
    </row>
    <row r="19" spans="1:12" s="147" customFormat="1" ht="12.75" x14ac:dyDescent="0.2">
      <c r="A19" s="164"/>
      <c r="B19" s="165"/>
      <c r="H19" s="148"/>
      <c r="I19" s="148"/>
      <c r="J19" s="148"/>
      <c r="K19" s="148"/>
      <c r="L19" s="148"/>
    </row>
    <row r="20" spans="1:12" s="147" customFormat="1" ht="14.25" x14ac:dyDescent="0.2">
      <c r="A20" s="13"/>
      <c r="B20" s="13"/>
      <c r="C20" s="328"/>
      <c r="D20" s="119"/>
      <c r="E20" s="328"/>
      <c r="H20" s="148"/>
      <c r="I20" s="148"/>
      <c r="J20" s="148"/>
      <c r="K20" s="148"/>
      <c r="L20" s="148"/>
    </row>
    <row r="21" spans="1:12" ht="15.75" x14ac:dyDescent="0.25">
      <c r="B21" s="278" t="s">
        <v>2</v>
      </c>
      <c r="C21" s="116"/>
      <c r="E21" s="278" t="s">
        <v>202</v>
      </c>
      <c r="G21" s="147"/>
    </row>
    <row r="22" spans="1:12" x14ac:dyDescent="0.25">
      <c r="B22" s="79" t="s">
        <v>3</v>
      </c>
      <c r="C22" s="116"/>
      <c r="E22" s="79" t="s">
        <v>203</v>
      </c>
      <c r="G22" s="147"/>
    </row>
    <row r="23" spans="1:12" x14ac:dyDescent="0.25">
      <c r="B23" s="79" t="s">
        <v>4</v>
      </c>
      <c r="C23" s="116"/>
      <c r="E23" s="79" t="s">
        <v>204</v>
      </c>
      <c r="G23" s="79"/>
    </row>
    <row r="24" spans="1:12" x14ac:dyDescent="0.25">
      <c r="B24" s="79" t="s">
        <v>5</v>
      </c>
      <c r="C24" s="116"/>
      <c r="E24" s="79" t="s">
        <v>205</v>
      </c>
    </row>
    <row r="25" spans="1:12" x14ac:dyDescent="0.25">
      <c r="B25" s="196"/>
    </row>
    <row r="26" spans="1:12" x14ac:dyDescent="0.25">
      <c r="C26" s="196"/>
    </row>
    <row r="27" spans="1:12" x14ac:dyDescent="0.25">
      <c r="B27" s="196"/>
    </row>
    <row r="29" spans="1:12" x14ac:dyDescent="0.25">
      <c r="B29" s="196"/>
    </row>
    <row r="31" spans="1:12" x14ac:dyDescent="0.25">
      <c r="B31" s="196"/>
    </row>
  </sheetData>
  <mergeCells count="14">
    <mergeCell ref="A10:A11"/>
    <mergeCell ref="B10:B11"/>
    <mergeCell ref="G10:G11"/>
    <mergeCell ref="A6:A7"/>
    <mergeCell ref="B6:B7"/>
    <mergeCell ref="G6:G7"/>
    <mergeCell ref="A8:A9"/>
    <mergeCell ref="B8:B9"/>
    <mergeCell ref="G8:G9"/>
    <mergeCell ref="A14:A17"/>
    <mergeCell ref="G14:G17"/>
    <mergeCell ref="A12:A13"/>
    <mergeCell ref="B12:B13"/>
    <mergeCell ref="G12:G13"/>
  </mergeCells>
  <printOptions horizontalCentered="1" verticalCentered="1"/>
  <pageMargins left="0.31496062992125984" right="0.31496062992125984" top="0.78740157480314965" bottom="0.55118110236220474" header="0.51181102362204722" footer="0.51181102362204722"/>
  <pageSetup paperSize="9" firstPageNumber="0" orientation="portrait" horizontalDpi="300" verticalDpi="300" r:id="rId1"/>
  <headerFooter>
    <oddHeader>&amp;C&amp;G
MINISTÉRIO DA EDUCAÇÃO
INSTITUTO FEDERAL DE EDUCAÇÃO, CIÊNCIA E TECNOLÓGICA DE ALAGOAS
PRÓ-REITORIA DE DESENVOLVIMENTO INSTITUCIONAL
DEPARTAMENTO DE INFRAESTRUTURA E EXPANSÃO
COORDENAÇÃO DE PROJETOS E OBRAS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3" zoomScaleNormal="100" workbookViewId="0">
      <selection activeCell="F66" sqref="F66"/>
    </sheetView>
  </sheetViews>
  <sheetFormatPr defaultRowHeight="15" x14ac:dyDescent="0.25"/>
  <cols>
    <col min="1" max="1" width="9.375" style="87" customWidth="1"/>
    <col min="2" max="2" width="11.625" style="167" bestFit="1" customWidth="1"/>
    <col min="3" max="3" width="48" style="168" customWidth="1"/>
    <col min="4" max="4" width="4.375" style="168" customWidth="1"/>
    <col min="5" max="5" width="10.25" style="206" customWidth="1"/>
    <col min="6" max="6" width="7" customWidth="1"/>
    <col min="7" max="7" width="12" customWidth="1"/>
    <col min="8" max="8" width="11.5" style="195" customWidth="1"/>
    <col min="9" max="10" width="8.75" customWidth="1"/>
    <col min="11" max="11" width="12.75" customWidth="1"/>
    <col min="12" max="1023" width="8.75" customWidth="1"/>
  </cols>
  <sheetData>
    <row r="1" spans="1:12" x14ac:dyDescent="0.25">
      <c r="B1" s="170"/>
      <c r="C1" s="87"/>
      <c r="D1" s="87"/>
    </row>
    <row r="2" spans="1:12" x14ac:dyDescent="0.25">
      <c r="B2" s="170"/>
      <c r="C2" s="87"/>
      <c r="D2" s="87"/>
    </row>
    <row r="3" spans="1:12" s="171" customFormat="1" ht="15.75" x14ac:dyDescent="0.2">
      <c r="B3" s="193"/>
      <c r="C3" s="198"/>
      <c r="D3" s="198"/>
      <c r="E3" s="207"/>
      <c r="F3" s="198"/>
      <c r="G3" s="198"/>
      <c r="H3" s="193"/>
      <c r="I3" s="198"/>
      <c r="K3" s="169">
        <f>SUM(E24:E55)</f>
        <v>45279.700000000004</v>
      </c>
    </row>
    <row r="4" spans="1:12" s="171" customFormat="1" ht="15.75" x14ac:dyDescent="0.2">
      <c r="A4" s="197"/>
      <c r="B4" s="194"/>
      <c r="C4" s="198"/>
      <c r="D4" s="197"/>
      <c r="E4" s="208"/>
      <c r="F4" s="197"/>
      <c r="G4" s="197"/>
      <c r="H4" s="194"/>
      <c r="I4" s="197"/>
      <c r="K4" s="169">
        <f>PLANILHA_UNIFICADA!I54</f>
        <v>45279.7</v>
      </c>
    </row>
    <row r="5" spans="1:12" s="171" customFormat="1" ht="15.75" x14ac:dyDescent="0.2">
      <c r="A5" s="172"/>
      <c r="B5" s="172"/>
      <c r="C5" s="172"/>
      <c r="D5" s="172"/>
      <c r="E5" s="209"/>
      <c r="F5" s="172"/>
      <c r="G5" s="172"/>
      <c r="H5" s="172"/>
      <c r="I5" s="172"/>
      <c r="K5" s="169">
        <f>K4-K3</f>
        <v>0</v>
      </c>
      <c r="L5" s="171" t="s">
        <v>84</v>
      </c>
    </row>
    <row r="6" spans="1:12" s="171" customFormat="1" ht="15.75" x14ac:dyDescent="0.2">
      <c r="A6" s="172"/>
      <c r="B6" s="172"/>
      <c r="C6" s="172"/>
      <c r="D6" s="172"/>
      <c r="E6" s="209"/>
      <c r="F6" s="172"/>
      <c r="G6" s="172"/>
      <c r="H6" s="172"/>
      <c r="I6" s="172"/>
    </row>
    <row r="7" spans="1:12" s="171" customFormat="1" ht="15.75" x14ac:dyDescent="0.2">
      <c r="A7" s="172"/>
      <c r="B7" s="172"/>
      <c r="C7" s="172"/>
      <c r="D7" s="172"/>
      <c r="E7" s="209"/>
      <c r="F7" s="172"/>
      <c r="G7" s="172"/>
      <c r="H7" s="172"/>
      <c r="I7" s="172"/>
    </row>
    <row r="8" spans="1:12" s="171" customFormat="1" ht="15.75" x14ac:dyDescent="0.2">
      <c r="A8" s="172"/>
      <c r="B8" s="172"/>
      <c r="C8" s="172"/>
      <c r="D8" s="172"/>
      <c r="E8" s="209"/>
      <c r="F8" s="172"/>
      <c r="G8" s="172"/>
      <c r="H8" s="172"/>
      <c r="I8" s="172"/>
    </row>
    <row r="9" spans="1:12" s="171" customFormat="1" ht="15.75" x14ac:dyDescent="0.2">
      <c r="A9" s="172"/>
      <c r="B9" s="172"/>
      <c r="C9" s="172"/>
      <c r="D9" s="172"/>
      <c r="E9" s="209"/>
      <c r="F9" s="172"/>
      <c r="G9" s="172"/>
      <c r="H9" s="172"/>
      <c r="I9" s="172"/>
    </row>
    <row r="10" spans="1:12" s="171" customFormat="1" ht="15.75" x14ac:dyDescent="0.2">
      <c r="A10" s="172"/>
      <c r="B10" s="172"/>
      <c r="C10" s="172"/>
      <c r="D10" s="172"/>
      <c r="E10" s="209"/>
      <c r="F10" s="172"/>
      <c r="G10" s="172"/>
      <c r="H10" s="172"/>
      <c r="I10" s="172"/>
    </row>
    <row r="11" spans="1:12" s="171" customFormat="1" ht="15.75" x14ac:dyDescent="0.2">
      <c r="A11" s="172"/>
      <c r="B11" s="172"/>
      <c r="C11" s="172"/>
      <c r="D11" s="172"/>
      <c r="E11" s="209"/>
      <c r="F11" s="172"/>
      <c r="G11" s="172"/>
      <c r="H11" s="172"/>
      <c r="I11" s="172"/>
    </row>
    <row r="12" spans="1:12" s="171" customFormat="1" ht="15.75" x14ac:dyDescent="0.2">
      <c r="A12" s="172"/>
      <c r="B12" s="172"/>
      <c r="C12" s="172"/>
      <c r="D12" s="172"/>
      <c r="E12" s="209"/>
      <c r="F12" s="172"/>
      <c r="G12" s="172"/>
      <c r="H12" s="172"/>
      <c r="I12" s="172"/>
    </row>
    <row r="13" spans="1:12" s="171" customFormat="1" ht="15.75" x14ac:dyDescent="0.2">
      <c r="A13" s="172"/>
      <c r="B13" s="172"/>
      <c r="C13" s="172"/>
      <c r="D13" s="172"/>
      <c r="E13" s="209"/>
      <c r="F13" s="172"/>
      <c r="G13" s="172"/>
      <c r="H13" s="172"/>
      <c r="I13" s="172"/>
    </row>
    <row r="14" spans="1:12" s="171" customFormat="1" ht="15.75" x14ac:dyDescent="0.2">
      <c r="A14" s="172"/>
      <c r="B14" s="172"/>
      <c r="C14" s="172"/>
      <c r="D14" s="172"/>
      <c r="E14" s="209"/>
      <c r="F14" s="172"/>
      <c r="G14" s="172"/>
      <c r="H14" s="172"/>
      <c r="I14" s="172"/>
    </row>
    <row r="15" spans="1:12" s="171" customFormat="1" ht="15.75" x14ac:dyDescent="0.2">
      <c r="A15" s="172"/>
      <c r="B15" s="172"/>
      <c r="C15" s="172"/>
      <c r="D15" s="172"/>
      <c r="E15" s="209"/>
      <c r="F15" s="172"/>
      <c r="G15" s="172"/>
      <c r="H15" s="172"/>
      <c r="I15" s="172"/>
    </row>
    <row r="16" spans="1:12" s="171" customFormat="1" ht="15.75" x14ac:dyDescent="0.2">
      <c r="A16" s="172"/>
      <c r="B16" s="172"/>
      <c r="C16" s="172"/>
      <c r="D16" s="172"/>
      <c r="E16" s="209"/>
      <c r="F16" s="172"/>
      <c r="G16" s="172"/>
      <c r="H16" s="172"/>
      <c r="I16" s="172"/>
    </row>
    <row r="17" spans="1:9" s="171" customFormat="1" ht="15.75" x14ac:dyDescent="0.2">
      <c r="A17" s="172"/>
      <c r="B17" s="172"/>
      <c r="C17" s="172"/>
      <c r="D17" s="172"/>
      <c r="E17" s="209"/>
      <c r="F17" s="172"/>
      <c r="G17" s="172"/>
      <c r="H17" s="172"/>
      <c r="I17" s="172"/>
    </row>
    <row r="18" spans="1:9" s="171" customFormat="1" ht="15.75" x14ac:dyDescent="0.2">
      <c r="A18" s="172"/>
      <c r="B18" s="172"/>
      <c r="C18" s="172"/>
      <c r="D18" s="172"/>
      <c r="E18" s="209"/>
      <c r="F18" s="172"/>
      <c r="G18" s="172"/>
      <c r="H18" s="172"/>
      <c r="I18" s="172"/>
    </row>
    <row r="19" spans="1:9" s="171" customFormat="1" ht="15.75" x14ac:dyDescent="0.2">
      <c r="A19" s="172"/>
      <c r="B19" s="172"/>
      <c r="C19" s="172"/>
      <c r="D19" s="172"/>
      <c r="E19" s="209"/>
      <c r="F19" s="172"/>
      <c r="G19" s="172"/>
      <c r="H19" s="172"/>
      <c r="I19" s="172"/>
    </row>
    <row r="20" spans="1:9" s="171" customFormat="1" ht="15.75" x14ac:dyDescent="0.2">
      <c r="A20" s="172"/>
      <c r="B20" s="172"/>
      <c r="C20" s="172"/>
      <c r="D20" s="172"/>
      <c r="E20" s="209"/>
      <c r="F20" s="172"/>
      <c r="G20" s="172"/>
      <c r="H20" s="172"/>
      <c r="I20" s="172"/>
    </row>
    <row r="23" spans="1:9" s="147" customFormat="1" ht="15" customHeight="1" x14ac:dyDescent="0.2">
      <c r="A23" s="204" t="s">
        <v>87</v>
      </c>
      <c r="B23" s="205"/>
      <c r="C23" s="204" t="s">
        <v>88</v>
      </c>
      <c r="D23" s="204" t="s">
        <v>35</v>
      </c>
      <c r="E23" s="211" t="s">
        <v>89</v>
      </c>
      <c r="F23" s="205" t="s">
        <v>90</v>
      </c>
      <c r="G23" s="204" t="s">
        <v>91</v>
      </c>
      <c r="H23" s="205" t="s">
        <v>92</v>
      </c>
    </row>
    <row r="24" spans="1:9" ht="14.25" x14ac:dyDescent="0.2">
      <c r="A24" s="199" t="str">
        <f>PLANILHA_UNIFICADA!A24</f>
        <v>2.2</v>
      </c>
      <c r="B24" s="203" t="str">
        <f>PLANILHA_UNIFICADA!B24</f>
        <v>COTAÇÃO 2.2</v>
      </c>
      <c r="C24" s="200" t="str">
        <f>PLANILHA_UNIFICADA!C24</f>
        <v>Reabertura no diâmetro de 12.¼”, inclusive mão de obra.</v>
      </c>
      <c r="D24" s="199" t="str">
        <f>PLANILHA_UNIFICADA!D24</f>
        <v>M</v>
      </c>
      <c r="E24" s="210">
        <f>PLANILHA_UNIFICADA!I24</f>
        <v>4954</v>
      </c>
      <c r="F24" s="201">
        <f t="shared" ref="F24:F55" si="0">E24/$K$3</f>
        <v>0.10940885209045112</v>
      </c>
      <c r="G24" s="202">
        <f>F24</f>
        <v>0.10940885209045112</v>
      </c>
      <c r="H24" s="203" t="str">
        <f>IF(G24&gt;80%,"C",IF(G24&gt;50%,"B","A"))</f>
        <v>A</v>
      </c>
    </row>
    <row r="25" spans="1:9" ht="14.25" x14ac:dyDescent="0.2">
      <c r="A25" s="199" t="str">
        <f>PLANILHA_UNIFICADA!A23</f>
        <v>2.1</v>
      </c>
      <c r="B25" s="203" t="str">
        <f>PLANILHA_UNIFICADA!B23</f>
        <v>COTAÇÃO 2.1</v>
      </c>
      <c r="C25" s="200" t="str">
        <f>PLANILHA_UNIFICADA!C23</f>
        <v>Perfuração no diâmetro de 8.½”,  inclusive mão de obra.</v>
      </c>
      <c r="D25" s="199" t="str">
        <f>PLANILHA_UNIFICADA!D23</f>
        <v>M</v>
      </c>
      <c r="E25" s="210">
        <f>PLANILHA_UNIFICADA!I23</f>
        <v>4899.51</v>
      </c>
      <c r="F25" s="201">
        <f t="shared" si="0"/>
        <v>0.10820544305726407</v>
      </c>
      <c r="G25" s="202">
        <f>G24+F25</f>
        <v>0.21761429514771519</v>
      </c>
      <c r="H25" s="203" t="str">
        <f t="shared" ref="H25:H55" si="1">IF(G25&gt;80%,"C",IF(G25&gt;50%,"B","A"))</f>
        <v>A</v>
      </c>
    </row>
    <row r="26" spans="1:9" ht="76.5" x14ac:dyDescent="0.2">
      <c r="A26" s="199" t="str">
        <f>PLANILHA_UNIFICADA!A48</f>
        <v>3.1</v>
      </c>
      <c r="B26" s="203" t="str">
        <f>PLANILHA_UNIFICADA!B48</f>
        <v>COTAÇÃO 3.1</v>
      </c>
      <c r="C26" s="200" t="str">
        <f>PLANILHA_UNIFICADA!C48</f>
        <v>Interligação do poço a executar com o reservatório existente(cerca de 60m entre eles), incluindo todos os serviços e itens relacionados à escavação, ao aterro, à tubulação, aos acessórios, às conexões, bombas, sistemas elétricos e quaisquer outros que se mostrem necessários para a perfeita execução e funcionamento dos serviços, inclusive mão de obra.</v>
      </c>
      <c r="D26" s="199" t="str">
        <f>PLANILHA_UNIFICADA!D48</f>
        <v>UND</v>
      </c>
      <c r="E26" s="210">
        <f>PLANILHA_UNIFICADA!I48</f>
        <v>4706.3</v>
      </c>
      <c r="F26" s="201">
        <f t="shared" si="0"/>
        <v>0.10393840948592857</v>
      </c>
      <c r="G26" s="202">
        <f t="shared" ref="G26:G36" si="2">G25+F26</f>
        <v>0.32155270463364377</v>
      </c>
      <c r="H26" s="203" t="str">
        <f t="shared" si="1"/>
        <v>A</v>
      </c>
    </row>
    <row r="27" spans="1:9" ht="14.25" x14ac:dyDescent="0.2">
      <c r="A27" s="199" t="str">
        <f>PLANILHA_UNIFICADA!A18</f>
        <v>1.4</v>
      </c>
      <c r="B27" s="203" t="str">
        <f>PLANILHA_UNIFICADA!B18</f>
        <v>COTAÇÃO 1.4</v>
      </c>
      <c r="C27" s="200" t="str">
        <f>PLANILHA_UNIFICADA!C18</f>
        <v>Deslocamento e instalação dos equipamentos</v>
      </c>
      <c r="D27" s="199" t="str">
        <f>PLANILHA_UNIFICADA!D18</f>
        <v>und</v>
      </c>
      <c r="E27" s="210">
        <f>PLANILHA_UNIFICADA!I18</f>
        <v>3715.5</v>
      </c>
      <c r="F27" s="201">
        <f t="shared" si="0"/>
        <v>8.2056639067838333E-2</v>
      </c>
      <c r="G27" s="202">
        <f t="shared" si="2"/>
        <v>0.4036093437014821</v>
      </c>
      <c r="H27" s="203" t="str">
        <f t="shared" si="1"/>
        <v>A</v>
      </c>
    </row>
    <row r="28" spans="1:9" ht="14.25" x14ac:dyDescent="0.2">
      <c r="A28" s="199" t="str">
        <f>PLANILHA_UNIFICADA!A25</f>
        <v>2.3</v>
      </c>
      <c r="B28" s="203" t="str">
        <f>PLANILHA_UNIFICADA!B25</f>
        <v>COTAÇÃO 2.3</v>
      </c>
      <c r="C28" s="200" t="str">
        <f>PLANILHA_UNIFICADA!C25</f>
        <v>Fornecimento e instalação de tubos geomecânicos no diâmetro de 6”.</v>
      </c>
      <c r="D28" s="199" t="str">
        <f>PLANILHA_UNIFICADA!D25</f>
        <v>M</v>
      </c>
      <c r="E28" s="210">
        <f>PLANILHA_UNIFICADA!I25</f>
        <v>3305.06</v>
      </c>
      <c r="F28" s="201">
        <f t="shared" si="0"/>
        <v>7.2992091378697291E-2</v>
      </c>
      <c r="G28" s="202">
        <f t="shared" si="2"/>
        <v>0.47660143508017938</v>
      </c>
      <c r="H28" s="203" t="str">
        <f t="shared" si="1"/>
        <v>A</v>
      </c>
    </row>
    <row r="29" spans="1:9" ht="63.75" x14ac:dyDescent="0.2">
      <c r="A29" s="199" t="str">
        <f>PLANILHA_UNIFICADA!A49</f>
        <v>3.2</v>
      </c>
      <c r="B29" s="203" t="str">
        <f>PLANILHA_UNIFICADA!B49</f>
        <v>COTAÇÃO 3.2</v>
      </c>
      <c r="C29" s="200" t="str">
        <f>PLANILHA_UNIFICADA!C49</f>
        <v>Outorga do direito do uso da água. Relatório Técnico em três vias para a solicitação de Outorga do Direito de Uso da Água, junto à Secretaria de Meio Ambiente Recurso Hídricos e Naturais, atendendo as exigências da Lei Estadual nº 5.965 de 10 de novembro de 1997, em consonância com a Lei Federal 9.433.</v>
      </c>
      <c r="D29" s="199" t="str">
        <f>PLANILHA_UNIFICADA!D49</f>
        <v>und</v>
      </c>
      <c r="E29" s="210">
        <f>PLANILHA_UNIFICADA!I49</f>
        <v>3096.25</v>
      </c>
      <c r="F29" s="201">
        <f t="shared" si="0"/>
        <v>6.8380532556531953E-2</v>
      </c>
      <c r="G29" s="202">
        <f t="shared" si="2"/>
        <v>0.54498196763671136</v>
      </c>
      <c r="H29" s="203" t="str">
        <f t="shared" si="1"/>
        <v>B</v>
      </c>
    </row>
    <row r="30" spans="1:9" ht="14.25" x14ac:dyDescent="0.2">
      <c r="A30" s="199" t="str">
        <f>PLANILHA_UNIFICADA!A26</f>
        <v>2.4</v>
      </c>
      <c r="B30" s="203" t="str">
        <f>PLANILHA_UNIFICADA!B26</f>
        <v>COTAÇÃO 2.4</v>
      </c>
      <c r="C30" s="200" t="str">
        <f>PLANILHA_UNIFICADA!C26</f>
        <v>Fornecimento e instalação de filtros geomecânicos no diâmetro de 6”.</v>
      </c>
      <c r="D30" s="199" t="str">
        <f>PLANILHA_UNIFICADA!D26</f>
        <v>M</v>
      </c>
      <c r="E30" s="210">
        <f>PLANILHA_UNIFICADA!I26</f>
        <v>2893.63</v>
      </c>
      <c r="F30" s="201">
        <f t="shared" si="0"/>
        <v>6.3905679587099737E-2</v>
      </c>
      <c r="G30" s="202">
        <f t="shared" si="2"/>
        <v>0.60888764722381106</v>
      </c>
      <c r="H30" s="203" t="str">
        <f t="shared" si="1"/>
        <v>B</v>
      </c>
    </row>
    <row r="31" spans="1:9" ht="25.5" x14ac:dyDescent="0.2">
      <c r="A31" s="199" t="str">
        <f>PLANILHA_UNIFICADA!A33</f>
        <v>2.11</v>
      </c>
      <c r="B31" s="203" t="str">
        <f>PLANILHA_UNIFICADA!B33</f>
        <v>COTAÇÃO 2.11</v>
      </c>
      <c r="C31" s="200" t="str">
        <f>PLANILHA_UNIFICADA!C33</f>
        <v>Fornecimento e instalação bomba submersa  4R5 PA 3 estágios 0,5Hp 380V.</v>
      </c>
      <c r="D31" s="199" t="str">
        <f>PLANILHA_UNIFICADA!D33</f>
        <v>PÇ</v>
      </c>
      <c r="E31" s="210">
        <f>PLANILHA_UNIFICADA!I33</f>
        <v>2521.71</v>
      </c>
      <c r="F31" s="201">
        <f t="shared" si="0"/>
        <v>5.5691844248084675E-2</v>
      </c>
      <c r="G31" s="202">
        <f t="shared" si="2"/>
        <v>0.66457949147189577</v>
      </c>
      <c r="H31" s="203" t="str">
        <f t="shared" si="1"/>
        <v>B</v>
      </c>
    </row>
    <row r="32" spans="1:9" ht="14.25" x14ac:dyDescent="0.2">
      <c r="A32" s="199" t="str">
        <f>PLANILHA_UNIFICADA!A29</f>
        <v>2.7</v>
      </c>
      <c r="B32" s="203" t="str">
        <f>PLANILHA_UNIFICADA!B29</f>
        <v>COTAÇÃO 2.7</v>
      </c>
      <c r="C32" s="200" t="str">
        <f>PLANILHA_UNIFICADA!C29</f>
        <v>Desenvolvimento com compressor de ar.</v>
      </c>
      <c r="D32" s="199" t="str">
        <f>PLANILHA_UNIFICADA!D29</f>
        <v>H</v>
      </c>
      <c r="E32" s="210">
        <f>PLANILHA_UNIFICADA!I29</f>
        <v>2223.36</v>
      </c>
      <c r="F32" s="201">
        <f t="shared" si="0"/>
        <v>4.9102798825963953E-2</v>
      </c>
      <c r="G32" s="202">
        <f t="shared" si="2"/>
        <v>0.71368229029785968</v>
      </c>
      <c r="H32" s="203" t="str">
        <f t="shared" si="1"/>
        <v>B</v>
      </c>
    </row>
    <row r="33" spans="1:8" ht="25.5" x14ac:dyDescent="0.2">
      <c r="A33" s="199" t="str">
        <f>PLANILHA_UNIFICADA!A30</f>
        <v>2.8</v>
      </c>
      <c r="B33" s="203" t="str">
        <f>PLANILHA_UNIFICADA!B30</f>
        <v>COTAÇÃO 2.8</v>
      </c>
      <c r="C33" s="200" t="str">
        <f>PLANILHA_UNIFICADA!C30</f>
        <v>Teste de bombeamento escalonado em etapas com bomba submersa para determinar vazão.</v>
      </c>
      <c r="D33" s="199" t="str">
        <f>PLANILHA_UNIFICADA!D30</f>
        <v>H</v>
      </c>
      <c r="E33" s="210">
        <f>PLANILHA_UNIFICADA!I30</f>
        <v>2223.36</v>
      </c>
      <c r="F33" s="201">
        <f t="shared" si="0"/>
        <v>4.9102798825963953E-2</v>
      </c>
      <c r="G33" s="202">
        <f t="shared" si="2"/>
        <v>0.76278508912382359</v>
      </c>
      <c r="H33" s="203" t="str">
        <f t="shared" si="1"/>
        <v>B</v>
      </c>
    </row>
    <row r="34" spans="1:8" ht="14.25" x14ac:dyDescent="0.2">
      <c r="A34" s="199" t="str">
        <f>PLANILHA_UNIFICADA!A28</f>
        <v>2.6</v>
      </c>
      <c r="B34" s="203" t="str">
        <f>PLANILHA_UNIFICADA!B28</f>
        <v>COTAÇÃO 2.6</v>
      </c>
      <c r="C34" s="200" t="str">
        <f>PLANILHA_UNIFICADA!C28</f>
        <v>Fornecimento e instalação de cascalho selecionado.</v>
      </c>
      <c r="D34" s="199" t="str">
        <f>PLANILHA_UNIFICADA!D28</f>
        <v>M³</v>
      </c>
      <c r="E34" s="210">
        <f>PLANILHA_UNIFICADA!I28</f>
        <v>1393.31</v>
      </c>
      <c r="F34" s="201">
        <f t="shared" si="0"/>
        <v>3.0771184438059436E-2</v>
      </c>
      <c r="G34" s="202">
        <f t="shared" si="2"/>
        <v>0.79355627356188307</v>
      </c>
      <c r="H34" s="203" t="str">
        <f t="shared" si="1"/>
        <v>B</v>
      </c>
    </row>
    <row r="35" spans="1:8" ht="14.25" x14ac:dyDescent="0.2">
      <c r="A35" s="199" t="str">
        <f>PLANILHA_UNIFICADA!A52</f>
        <v>4.1</v>
      </c>
      <c r="B35" s="203" t="str">
        <f>PLANILHA_UNIFICADA!B52</f>
        <v>IFAL 4.1</v>
      </c>
      <c r="C35" s="200" t="str">
        <f>PLANILHA_UNIFICADA!C52</f>
        <v>ADMINISTRAÇÃO LOCAL E MANUTENÇÃO DO CANTEIRO</v>
      </c>
      <c r="D35" s="199" t="str">
        <f>PLANILHA_UNIFICADA!D52</f>
        <v>und</v>
      </c>
      <c r="E35" s="210">
        <f>PLANILHA_UNIFICADA!I52</f>
        <v>1272.21</v>
      </c>
      <c r="F35" s="201">
        <f t="shared" si="0"/>
        <v>2.8096696753732907E-2</v>
      </c>
      <c r="G35" s="202">
        <f t="shared" si="2"/>
        <v>0.82165297031561602</v>
      </c>
      <c r="H35" s="203" t="str">
        <f t="shared" si="1"/>
        <v>C</v>
      </c>
    </row>
    <row r="36" spans="1:8" ht="14.25" x14ac:dyDescent="0.2">
      <c r="A36" s="199" t="str">
        <f>PLANILHA_UNIFICADA!A15</f>
        <v>1.1</v>
      </c>
      <c r="B36" s="203" t="str">
        <f>PLANILHA_UNIFICADA!B15</f>
        <v>COTAÇÃO 1.1</v>
      </c>
      <c r="C36" s="200" t="str">
        <f>PLANILHA_UNIFICADA!C15</f>
        <v>Estudo de definição do local em que será perfurado o poço.</v>
      </c>
      <c r="D36" s="199" t="str">
        <f>PLANILHA_UNIFICADA!D15</f>
        <v>und</v>
      </c>
      <c r="E36" s="210">
        <f>PLANILHA_UNIFICADA!I15</f>
        <v>1238.5</v>
      </c>
      <c r="F36" s="201">
        <f t="shared" si="0"/>
        <v>2.735221302261278E-2</v>
      </c>
      <c r="G36" s="202">
        <f t="shared" si="2"/>
        <v>0.84900518333822883</v>
      </c>
      <c r="H36" s="203" t="str">
        <f t="shared" si="1"/>
        <v>C</v>
      </c>
    </row>
    <row r="37" spans="1:8" ht="14.25" x14ac:dyDescent="0.2">
      <c r="A37" s="199" t="str">
        <f>PLANILHA_UNIFICADA!A39</f>
        <v>2.17</v>
      </c>
      <c r="B37" s="203" t="str">
        <f>PLANILHA_UNIFICADA!B39</f>
        <v>COTAÇÃO 2.17</v>
      </c>
      <c r="C37" s="200" t="str">
        <f>PLANILHA_UNIFICADA!C39</f>
        <v>Fornecimento e instalação de quadro de comando.</v>
      </c>
      <c r="D37" s="199" t="str">
        <f>PLANILHA_UNIFICADA!D39</f>
        <v>PÇ</v>
      </c>
      <c r="E37" s="210">
        <f>PLANILHA_UNIFICADA!I39</f>
        <v>743.1</v>
      </c>
      <c r="F37" s="201">
        <f t="shared" si="0"/>
        <v>1.6411327813567668E-2</v>
      </c>
      <c r="G37" s="202">
        <f t="shared" ref="G37:G55" si="3">G36+F37</f>
        <v>0.86541651115179652</v>
      </c>
      <c r="H37" s="203" t="str">
        <f t="shared" si="1"/>
        <v>C</v>
      </c>
    </row>
    <row r="38" spans="1:8" ht="14.25" x14ac:dyDescent="0.2">
      <c r="A38" s="199" t="str">
        <f>PLANILHA_UNIFICADA!A43</f>
        <v>2.21</v>
      </c>
      <c r="B38" s="203" t="str">
        <f>PLANILHA_UNIFICADA!B43</f>
        <v>COTAÇÃO 2.21</v>
      </c>
      <c r="C38" s="200" t="str">
        <f>PLANILHA_UNIFICADA!C43</f>
        <v>Fornecimento e instalação de taxas do Crea/Cau e Semah.</v>
      </c>
      <c r="D38" s="199" t="str">
        <f>PLANILHA_UNIFICADA!D43</f>
        <v>CONJ</v>
      </c>
      <c r="E38" s="210">
        <f>PLANILHA_UNIFICADA!I43</f>
        <v>743.1</v>
      </c>
      <c r="F38" s="201">
        <f t="shared" si="0"/>
        <v>1.6411327813567668E-2</v>
      </c>
      <c r="G38" s="202">
        <f t="shared" si="3"/>
        <v>0.88182783896536421</v>
      </c>
      <c r="H38" s="203" t="str">
        <f t="shared" si="1"/>
        <v>C</v>
      </c>
    </row>
    <row r="39" spans="1:8" ht="14.25" x14ac:dyDescent="0.2">
      <c r="A39" s="199" t="str">
        <f>PLANILHA_UNIFICADA!A31</f>
        <v>2.9</v>
      </c>
      <c r="B39" s="203" t="str">
        <f>PLANILHA_UNIFICADA!B31</f>
        <v>COTAÇÃO 2.9</v>
      </c>
      <c r="C39" s="200" t="str">
        <f>PLANILHA_UNIFICADA!C31</f>
        <v>Fornecimento e instalação de hexametafosfato de sódio.</v>
      </c>
      <c r="D39" s="199" t="str">
        <f>PLANILHA_UNIFICADA!D31</f>
        <v>KG</v>
      </c>
      <c r="E39" s="210">
        <f>PLANILHA_UNIFICADA!I31</f>
        <v>650.21</v>
      </c>
      <c r="F39" s="201">
        <f t="shared" si="0"/>
        <v>1.435985662449177E-2</v>
      </c>
      <c r="G39" s="202">
        <f t="shared" si="3"/>
        <v>0.896187695589856</v>
      </c>
      <c r="H39" s="203" t="str">
        <f t="shared" si="1"/>
        <v>C</v>
      </c>
    </row>
    <row r="40" spans="1:8" ht="14.25" x14ac:dyDescent="0.2">
      <c r="A40" s="199" t="str">
        <f>PLANILHA_UNIFICADA!A34</f>
        <v>2.12</v>
      </c>
      <c r="B40" s="203" t="str">
        <f>PLANILHA_UNIFICADA!B34</f>
        <v>COTAÇÃO 2.12</v>
      </c>
      <c r="C40" s="200" t="str">
        <f>PLANILHA_UNIFICADA!C34</f>
        <v>Fornecimento e instalação tubo PVC roscável de 1. ¼”.</v>
      </c>
      <c r="D40" s="199" t="str">
        <f>PLANILHA_UNIFICADA!D34</f>
        <v>M</v>
      </c>
      <c r="E40" s="210">
        <f>PLANILHA_UNIFICADA!I34</f>
        <v>640.05999999999995</v>
      </c>
      <c r="F40" s="201">
        <f t="shared" si="0"/>
        <v>1.4135694361932608E-2</v>
      </c>
      <c r="G40" s="202">
        <f t="shared" si="3"/>
        <v>0.91032338995178863</v>
      </c>
      <c r="H40" s="203" t="str">
        <f t="shared" si="1"/>
        <v>C</v>
      </c>
    </row>
    <row r="41" spans="1:8" ht="14.25" x14ac:dyDescent="0.2">
      <c r="A41" s="199" t="str">
        <f>PLANILHA_UNIFICADA!A16</f>
        <v>1.2</v>
      </c>
      <c r="B41" s="203" t="str">
        <f>PLANILHA_UNIFICADA!B16</f>
        <v>COTAÇÃO 1.2</v>
      </c>
      <c r="C41" s="200" t="str">
        <f>PLANILHA_UNIFICADA!C16</f>
        <v>Licença para obras hídricas</v>
      </c>
      <c r="D41" s="199" t="str">
        <f>PLANILHA_UNIFICADA!D16</f>
        <v>und</v>
      </c>
      <c r="E41" s="210">
        <f>PLANILHA_UNIFICADA!I16</f>
        <v>495.4</v>
      </c>
      <c r="F41" s="201">
        <f t="shared" si="0"/>
        <v>1.0940885209045112E-2</v>
      </c>
      <c r="G41" s="202">
        <f t="shared" si="3"/>
        <v>0.92126427516083376</v>
      </c>
      <c r="H41" s="203" t="str">
        <f t="shared" si="1"/>
        <v>C</v>
      </c>
    </row>
    <row r="42" spans="1:8" ht="14.25" x14ac:dyDescent="0.2">
      <c r="A42" s="199" t="str">
        <f>PLANILHA_UNIFICADA!A38</f>
        <v>2.16</v>
      </c>
      <c r="B42" s="203" t="str">
        <f>PLANILHA_UNIFICADA!B38</f>
        <v>COTAÇÃO 2.16</v>
      </c>
      <c r="C42" s="200" t="str">
        <f>PLANILHA_UNIFICADA!C38</f>
        <v>Fornecimento e instalação de cabo elétrico de 3x1.5mm.</v>
      </c>
      <c r="D42" s="199" t="str">
        <f>PLANILHA_UNIFICADA!D38</f>
        <v>M</v>
      </c>
      <c r="E42" s="210">
        <f>PLANILHA_UNIFICADA!I38</f>
        <v>495.4</v>
      </c>
      <c r="F42" s="201">
        <f t="shared" si="0"/>
        <v>1.0940885209045112E-2</v>
      </c>
      <c r="G42" s="202">
        <f t="shared" si="3"/>
        <v>0.93220516036987888</v>
      </c>
      <c r="H42" s="203" t="str">
        <f t="shared" si="1"/>
        <v>C</v>
      </c>
    </row>
    <row r="43" spans="1:8" ht="14.25" x14ac:dyDescent="0.2">
      <c r="A43" s="199" t="str">
        <f>PLANILHA_UNIFICADA!A44</f>
        <v>2.22</v>
      </c>
      <c r="B43" s="203" t="str">
        <f>PLANILHA_UNIFICADA!B44</f>
        <v>COTAÇÃO 2.22</v>
      </c>
      <c r="C43" s="200" t="str">
        <f>PLANILHA_UNIFICADA!C44</f>
        <v>Fornecimento e instalação de hidrômetro.</v>
      </c>
      <c r="D43" s="199" t="str">
        <f>PLANILHA_UNIFICADA!D44</f>
        <v>PÇ</v>
      </c>
      <c r="E43" s="210">
        <f>PLANILHA_UNIFICADA!I44</f>
        <v>495.4</v>
      </c>
      <c r="F43" s="201">
        <f t="shared" si="0"/>
        <v>1.0940885209045112E-2</v>
      </c>
      <c r="G43" s="202">
        <f t="shared" si="3"/>
        <v>0.94314604557892401</v>
      </c>
      <c r="H43" s="203" t="str">
        <f t="shared" si="1"/>
        <v>C</v>
      </c>
    </row>
    <row r="44" spans="1:8" ht="14.25" x14ac:dyDescent="0.2">
      <c r="A44" s="199" t="str">
        <f>PLANILHA_UNIFICADA!A20</f>
        <v>1.6</v>
      </c>
      <c r="B44" s="203" t="str">
        <f>PLANILHA_UNIFICADA!B20</f>
        <v>IFAL 1.7</v>
      </c>
      <c r="C44" s="200" t="str">
        <f>PLANILHA_UNIFICADA!C20</f>
        <v>Manual de uso e operação do serviço ou produto</v>
      </c>
      <c r="D44" s="199" t="str">
        <f>PLANILHA_UNIFICADA!D20</f>
        <v>und</v>
      </c>
      <c r="E44" s="210">
        <f>PLANILHA_UNIFICADA!I20</f>
        <v>455.72</v>
      </c>
      <c r="F44" s="201">
        <f t="shared" si="0"/>
        <v>1.0064554314626642E-2</v>
      </c>
      <c r="G44" s="202">
        <f t="shared" si="3"/>
        <v>0.95321059989355061</v>
      </c>
      <c r="H44" s="203" t="str">
        <f>IF(G44&gt;80%,"C",IF(G44&gt;50%,"B","A"))</f>
        <v>C</v>
      </c>
    </row>
    <row r="45" spans="1:8" ht="14.25" x14ac:dyDescent="0.2">
      <c r="A45" s="199" t="str">
        <f>PLANILHA_UNIFICADA!A17</f>
        <v>1.3</v>
      </c>
      <c r="B45" s="203" t="str">
        <f>PLANILHA_UNIFICADA!B17</f>
        <v>COTAÇÃO 1.3</v>
      </c>
      <c r="C45" s="200" t="str">
        <f>PLANILHA_UNIFICADA!C17</f>
        <v>Teste de qualidade da água, análise físico-química e bacteriológica.</v>
      </c>
      <c r="D45" s="199" t="str">
        <f>PLANILHA_UNIFICADA!D17</f>
        <v>und</v>
      </c>
      <c r="E45" s="210">
        <f>PLANILHA_UNIFICADA!I17</f>
        <v>433.48</v>
      </c>
      <c r="F45" s="201">
        <f t="shared" si="0"/>
        <v>9.5733849826743541E-3</v>
      </c>
      <c r="G45" s="202">
        <f t="shared" si="3"/>
        <v>0.96278398487622496</v>
      </c>
      <c r="H45" s="203" t="str">
        <f t="shared" si="1"/>
        <v>C</v>
      </c>
    </row>
    <row r="46" spans="1:8" ht="14.25" x14ac:dyDescent="0.2">
      <c r="A46" s="199" t="str">
        <f>PLANILHA_UNIFICADA!A32</f>
        <v>2.10</v>
      </c>
      <c r="B46" s="203" t="str">
        <f>PLANILHA_UNIFICADA!B32</f>
        <v>COTAÇÃO 2.10</v>
      </c>
      <c r="C46" s="200" t="str">
        <f>PLANILHA_UNIFICADA!C32</f>
        <v>Proteção sanitária, cimentação inclusive mão de obra</v>
      </c>
      <c r="D46" s="199" t="str">
        <f>PLANILHA_UNIFICADA!D32</f>
        <v>und</v>
      </c>
      <c r="E46" s="210">
        <f>PLANILHA_UNIFICADA!I32</f>
        <v>346.78</v>
      </c>
      <c r="F46" s="201">
        <f t="shared" si="0"/>
        <v>7.6586196463315779E-3</v>
      </c>
      <c r="G46" s="202">
        <f t="shared" si="3"/>
        <v>0.9704426045225566</v>
      </c>
      <c r="H46" s="203" t="str">
        <f t="shared" si="1"/>
        <v>C</v>
      </c>
    </row>
    <row r="47" spans="1:8" ht="14.25" x14ac:dyDescent="0.2">
      <c r="A47" s="199" t="str">
        <f>PLANILHA_UNIFICADA!A19</f>
        <v>1.5</v>
      </c>
      <c r="B47" s="203" t="str">
        <f>PLANILHA_UNIFICADA!B19</f>
        <v>IFAL 1.6</v>
      </c>
      <c r="C47" s="200" t="str">
        <f>PLANILHA_UNIFICADA!C19</f>
        <v>Projeto as buit</v>
      </c>
      <c r="D47" s="199" t="str">
        <f>PLANILHA_UNIFICADA!D19</f>
        <v>und</v>
      </c>
      <c r="E47" s="210">
        <f>PLANILHA_UNIFICADA!I19</f>
        <v>318.29000000000002</v>
      </c>
      <c r="F47" s="201">
        <f t="shared" si="0"/>
        <v>7.0294193645275916E-3</v>
      </c>
      <c r="G47" s="202">
        <f t="shared" si="3"/>
        <v>0.97747202388708421</v>
      </c>
      <c r="H47" s="203" t="str">
        <f t="shared" si="1"/>
        <v>C</v>
      </c>
    </row>
    <row r="48" spans="1:8" ht="25.5" x14ac:dyDescent="0.2">
      <c r="A48" s="199" t="str">
        <f>PLANILHA_UNIFICADA!A27</f>
        <v>2.5</v>
      </c>
      <c r="B48" s="203" t="str">
        <f>PLANILHA_UNIFICADA!B27</f>
        <v>COTAÇÃO 2.5</v>
      </c>
      <c r="C48" s="200" t="str">
        <f>PLANILHA_UNIFICADA!C27</f>
        <v>Fornecimento e instalação de centralizadores em aço no diâmetro de 6” .</v>
      </c>
      <c r="D48" s="199" t="str">
        <f>PLANILHA_UNIFICADA!D27</f>
        <v>PÇ</v>
      </c>
      <c r="E48" s="210">
        <f>PLANILHA_UNIFICADA!I27</f>
        <v>190.73</v>
      </c>
      <c r="F48" s="201">
        <f t="shared" si="0"/>
        <v>4.2122628904343439E-3</v>
      </c>
      <c r="G48" s="202">
        <f t="shared" si="3"/>
        <v>0.98168428677751851</v>
      </c>
      <c r="H48" s="203" t="str">
        <f t="shared" si="1"/>
        <v>C</v>
      </c>
    </row>
    <row r="49" spans="1:8" ht="14.25" x14ac:dyDescent="0.2">
      <c r="A49" s="199" t="str">
        <f>PLANILHA_UNIFICADA!A35</f>
        <v>2.13</v>
      </c>
      <c r="B49" s="203" t="str">
        <f>PLANILHA_UNIFICADA!B35</f>
        <v>COTAÇÃO 2.13</v>
      </c>
      <c r="C49" s="200" t="str">
        <f>PLANILHA_UNIFICADA!C35</f>
        <v>Fornecimento e instalação de luva galvanizada de 1. ¼” .</v>
      </c>
      <c r="D49" s="199" t="str">
        <f>PLANILHA_UNIFICADA!D35</f>
        <v>PÇ</v>
      </c>
      <c r="E49" s="210">
        <f>PLANILHA_UNIFICADA!I35</f>
        <v>190.73</v>
      </c>
      <c r="F49" s="201">
        <f t="shared" si="0"/>
        <v>4.2122628904343439E-3</v>
      </c>
      <c r="G49" s="202">
        <f t="shared" si="3"/>
        <v>0.98589654966795282</v>
      </c>
      <c r="H49" s="203" t="str">
        <f t="shared" si="1"/>
        <v>C</v>
      </c>
    </row>
    <row r="50" spans="1:8" ht="14.25" x14ac:dyDescent="0.2">
      <c r="A50" s="199" t="str">
        <f>PLANILHA_UNIFICADA!A42</f>
        <v>2.20</v>
      </c>
      <c r="B50" s="203" t="str">
        <f>PLANILHA_UNIFICADA!B42</f>
        <v>COTAÇÃO 2.20</v>
      </c>
      <c r="C50" s="200" t="str">
        <f>PLANILHA_UNIFICADA!C42</f>
        <v>Fornecimento e instalação de válvula de retenção horizontal 1. ¼”.</v>
      </c>
      <c r="D50" s="199" t="str">
        <f>PLANILHA_UNIFICADA!D42</f>
        <v>PÇ</v>
      </c>
      <c r="E50" s="210">
        <f>PLANILHA_UNIFICADA!I42</f>
        <v>173.39</v>
      </c>
      <c r="F50" s="201">
        <f t="shared" si="0"/>
        <v>3.8293098231657889E-3</v>
      </c>
      <c r="G50" s="202">
        <f t="shared" si="3"/>
        <v>0.98972585949111858</v>
      </c>
      <c r="H50" s="203" t="str">
        <f t="shared" si="1"/>
        <v>C</v>
      </c>
    </row>
    <row r="51" spans="1:8" ht="14.25" x14ac:dyDescent="0.2">
      <c r="A51" s="199" t="str">
        <f>PLANILHA_UNIFICADA!A37</f>
        <v>2.15</v>
      </c>
      <c r="B51" s="203" t="str">
        <f>PLANILHA_UNIFICADA!B37</f>
        <v>COTAÇÃO 2.15</v>
      </c>
      <c r="C51" s="200" t="str">
        <f>PLANILHA_UNIFICADA!C37</f>
        <v>Fornecimento e instalação de corda de Nylon.</v>
      </c>
      <c r="D51" s="199" t="str">
        <f>PLANILHA_UNIFICADA!D37</f>
        <v>KG</v>
      </c>
      <c r="E51" s="210">
        <f>PLANILHA_UNIFICADA!I37</f>
        <v>138.71</v>
      </c>
      <c r="F51" s="201">
        <f t="shared" si="0"/>
        <v>3.063403688628679E-3</v>
      </c>
      <c r="G51" s="202">
        <f t="shared" si="3"/>
        <v>0.99278926317974725</v>
      </c>
      <c r="H51" s="203" t="str">
        <f t="shared" si="1"/>
        <v>C</v>
      </c>
    </row>
    <row r="52" spans="1:8" ht="25.5" x14ac:dyDescent="0.2">
      <c r="A52" s="199" t="str">
        <f>PLANILHA_UNIFICADA!A45</f>
        <v>2.23</v>
      </c>
      <c r="B52" s="203" t="str">
        <f>PLANILHA_UNIFICADA!B45</f>
        <v>11682/ORSE</v>
      </c>
      <c r="C52" s="200" t="str">
        <f>PLANILHA_UNIFICADA!C45</f>
        <v xml:space="preserve"> Laje de Proteção do Poço em concreto simples fabricado na obra, fck=21 mpa lançado e adensado</v>
      </c>
      <c r="D52" s="199" t="str">
        <f>PLANILHA_UNIFICADA!D45</f>
        <v>m³</v>
      </c>
      <c r="E52" s="210">
        <f>PLANILHA_UNIFICADA!I45</f>
        <v>119.67</v>
      </c>
      <c r="F52" s="201">
        <f t="shared" si="0"/>
        <v>2.6429062030004615E-3</v>
      </c>
      <c r="G52" s="202">
        <f t="shared" si="3"/>
        <v>0.9954321693827477</v>
      </c>
      <c r="H52" s="203" t="str">
        <f t="shared" si="1"/>
        <v>C</v>
      </c>
    </row>
    <row r="53" spans="1:8" ht="14.25" x14ac:dyDescent="0.2">
      <c r="A53" s="199" t="str">
        <f>PLANILHA_UNIFICADA!A41</f>
        <v>2.19</v>
      </c>
      <c r="B53" s="203" t="str">
        <f>PLANILHA_UNIFICADA!B41</f>
        <v>COTAÇÃO 2.19</v>
      </c>
      <c r="C53" s="200" t="str">
        <f>PLANILHA_UNIFICADA!C41</f>
        <v>Fornecimento e instalação de tampa do poço.</v>
      </c>
      <c r="D53" s="199" t="str">
        <f>PLANILHA_UNIFICADA!D41</f>
        <v>UND</v>
      </c>
      <c r="E53" s="210">
        <f>PLANILHA_UNIFICADA!I41</f>
        <v>99.08</v>
      </c>
      <c r="F53" s="201">
        <f t="shared" si="0"/>
        <v>2.1881770418090223E-3</v>
      </c>
      <c r="G53" s="202">
        <f t="shared" si="3"/>
        <v>0.99762034642455677</v>
      </c>
      <c r="H53" s="203" t="str">
        <f t="shared" si="1"/>
        <v>C</v>
      </c>
    </row>
    <row r="54" spans="1:8" ht="14.25" x14ac:dyDescent="0.2">
      <c r="A54" s="199" t="str">
        <f>PLANILHA_UNIFICADA!A40</f>
        <v>2.18</v>
      </c>
      <c r="B54" s="203" t="str">
        <f>PLANILHA_UNIFICADA!B40</f>
        <v>COTAÇÃO 2.18</v>
      </c>
      <c r="C54" s="200" t="str">
        <f>PLANILHA_UNIFICADA!C40</f>
        <v>Fornecimento e instalação de  isolantes.</v>
      </c>
      <c r="D54" s="199" t="str">
        <f>PLANILHA_UNIFICADA!D40</f>
        <v>CONJ</v>
      </c>
      <c r="E54" s="210">
        <f>PLANILHA_UNIFICADA!I40</f>
        <v>80.5</v>
      </c>
      <c r="F54" s="201">
        <f t="shared" si="0"/>
        <v>1.7778386340898901E-3</v>
      </c>
      <c r="G54" s="202">
        <f t="shared" si="3"/>
        <v>0.99939818505864664</v>
      </c>
      <c r="H54" s="203" t="str">
        <f t="shared" si="1"/>
        <v>C</v>
      </c>
    </row>
    <row r="55" spans="1:8" ht="14.25" x14ac:dyDescent="0.2">
      <c r="A55" s="199" t="str">
        <f>PLANILHA_UNIFICADA!A36</f>
        <v>2.14</v>
      </c>
      <c r="B55" s="203" t="str">
        <f>PLANILHA_UNIFICADA!B36</f>
        <v>COTAÇÃO 2.14</v>
      </c>
      <c r="C55" s="200" t="str">
        <f>PLANILHA_UNIFICADA!C36</f>
        <v>Fornecimento e instalação de curva PVC de 1. ¼”.</v>
      </c>
      <c r="D55" s="199" t="str">
        <f>PLANILHA_UNIFICADA!D36</f>
        <v>PÇ</v>
      </c>
      <c r="E55" s="210">
        <f>PLANILHA_UNIFICADA!I36</f>
        <v>27.25</v>
      </c>
      <c r="F55" s="201">
        <f t="shared" si="0"/>
        <v>6.0181494135340993E-4</v>
      </c>
      <c r="G55" s="202">
        <f t="shared" si="3"/>
        <v>1</v>
      </c>
      <c r="H55" s="203" t="str">
        <f t="shared" si="1"/>
        <v>C</v>
      </c>
    </row>
    <row r="57" spans="1:8" x14ac:dyDescent="0.25">
      <c r="C57" s="9"/>
      <c r="D57" s="9"/>
    </row>
    <row r="58" spans="1:8" ht="15.75" x14ac:dyDescent="0.25">
      <c r="C58" s="296" t="s">
        <v>2</v>
      </c>
      <c r="D58" s="296"/>
    </row>
    <row r="59" spans="1:8" x14ac:dyDescent="0.25">
      <c r="C59" s="297" t="s">
        <v>3</v>
      </c>
      <c r="D59" s="297"/>
    </row>
    <row r="60" spans="1:8" x14ac:dyDescent="0.25">
      <c r="C60" s="297" t="s">
        <v>4</v>
      </c>
      <c r="D60" s="297"/>
    </row>
    <row r="61" spans="1:8" x14ac:dyDescent="0.25">
      <c r="C61" s="297" t="s">
        <v>5</v>
      </c>
      <c r="D61" s="297"/>
    </row>
  </sheetData>
  <sortState ref="A23:H55">
    <sortCondition descending="1" ref="E24"/>
  </sortState>
  <mergeCells count="4">
    <mergeCell ref="C60:D60"/>
    <mergeCell ref="C61:D61"/>
    <mergeCell ref="C58:D58"/>
    <mergeCell ref="C59:D59"/>
  </mergeCells>
  <printOptions horizontalCentered="1" verticalCentered="1"/>
  <pageMargins left="0.51180555555555496" right="0.51180555555555496" top="0.78749999999999998" bottom="0.78749999999999998" header="0.51180555555555496" footer="0.51180555555555496"/>
  <pageSetup scale="9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2824389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PLANILHA_UNIFICADA</vt:lpstr>
      <vt:lpstr>MEMORIA_DE_CALCULO</vt:lpstr>
      <vt:lpstr>COMPOSIÇÕES_UNITÁRIAS</vt:lpstr>
      <vt:lpstr>CRONOGRAMA</vt:lpstr>
      <vt:lpstr>CURVA_ABC</vt:lpstr>
      <vt:lpstr>COMPOSIÇÕES_UNITÁRIAS!Area_de_impressao</vt:lpstr>
      <vt:lpstr>CURVA_ABC!Area_de_impressao</vt:lpstr>
      <vt:lpstr>MEMORIA_DE_CALCULO!Area_de_impressao</vt:lpstr>
      <vt:lpstr>PLANILHA_UNIFICADA!Area_de_impressao</vt:lpstr>
      <vt:lpstr>RESUMO!Area_de_impressao</vt:lpstr>
      <vt:lpstr>CRONOGRAMA!Titulos_de_impressao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IFAL</cp:lastModifiedBy>
  <cp:revision>417</cp:revision>
  <cp:lastPrinted>2018-11-21T19:40:21Z</cp:lastPrinted>
  <dcterms:created xsi:type="dcterms:W3CDTF">2015-04-20T13:50:03Z</dcterms:created>
  <dcterms:modified xsi:type="dcterms:W3CDTF">2018-11-21T20:18:51Z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