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45" windowWidth="12795" windowHeight="10590" tabRatio="921"/>
  </bookViews>
  <sheets>
    <sheet name="Planilha Orçamentaria" sheetId="3" r:id="rId1"/>
    <sheet name="COMPOSIÇÕES IFAL" sheetId="4" r:id="rId2"/>
    <sheet name="Memorial de cálculo" sheetId="5" r:id="rId3"/>
    <sheet name="Cronograma" sheetId="6" r:id="rId4"/>
  </sheets>
  <definedNames>
    <definedName name="SHARED_FORMULA_4_1277_4_1277_2">220*12</definedName>
  </definedNames>
  <calcPr calcId="145621"/>
</workbook>
</file>

<file path=xl/calcChain.xml><?xml version="1.0" encoding="utf-8"?>
<calcChain xmlns="http://schemas.openxmlformats.org/spreadsheetml/2006/main">
  <c r="C13" i="3" l="1"/>
  <c r="E28" i="4" l="1"/>
  <c r="C23" i="4" l="1"/>
  <c r="B23" i="4"/>
  <c r="G67" i="4"/>
  <c r="G68" i="4" s="1"/>
  <c r="F23" i="4" s="1"/>
  <c r="E20" i="4"/>
  <c r="C27" i="5"/>
  <c r="E27" i="5" s="1"/>
  <c r="D26" i="5"/>
  <c r="C26" i="5"/>
  <c r="E26" i="5" s="1"/>
  <c r="B26" i="5"/>
  <c r="B25" i="5"/>
  <c r="C25" i="5" s="1"/>
  <c r="B24" i="5"/>
  <c r="C23" i="5"/>
  <c r="E23" i="5" s="1"/>
  <c r="B23" i="5"/>
  <c r="D23" i="5" s="1"/>
  <c r="C22" i="5"/>
  <c r="E22" i="5" s="1"/>
  <c r="B22" i="5"/>
  <c r="B21" i="5"/>
  <c r="C21" i="5" s="1"/>
  <c r="B20" i="5"/>
  <c r="B19" i="5"/>
  <c r="D24" i="5" l="1"/>
  <c r="F24" i="5" s="1"/>
  <c r="D25" i="5"/>
  <c r="F25" i="5" s="1"/>
  <c r="E25" i="5"/>
  <c r="D20" i="5"/>
  <c r="F20" i="5" s="1"/>
  <c r="D21" i="5"/>
  <c r="E21" i="5"/>
  <c r="F26" i="5"/>
  <c r="F23" i="5"/>
  <c r="C20" i="5"/>
  <c r="E20" i="5" s="1"/>
  <c r="C19" i="5"/>
  <c r="E19" i="5" s="1"/>
  <c r="D22" i="5"/>
  <c r="F22" i="5" s="1"/>
  <c r="D27" i="5"/>
  <c r="F27" i="5" s="1"/>
  <c r="C24" i="5"/>
  <c r="E24" i="5" s="1"/>
  <c r="D43" i="5"/>
  <c r="E19" i="4"/>
  <c r="D47" i="5"/>
  <c r="C44" i="5"/>
  <c r="C45" i="5"/>
  <c r="C46" i="5"/>
  <c r="C43" i="5"/>
  <c r="F21" i="5" l="1"/>
  <c r="D19" i="5"/>
  <c r="F19" i="5" s="1"/>
  <c r="F28" i="5" s="1"/>
  <c r="B46" i="5"/>
  <c r="D46" i="5" s="1"/>
  <c r="D45" i="5"/>
  <c r="B44" i="5"/>
  <c r="D44" i="5" s="1"/>
  <c r="B43" i="5"/>
  <c r="E39" i="5"/>
  <c r="E38" i="5"/>
  <c r="E36" i="5"/>
  <c r="E35" i="5"/>
  <c r="E34" i="5"/>
  <c r="E33" i="5"/>
  <c r="E32" i="5"/>
  <c r="E31" i="5"/>
  <c r="F32" i="5" l="1"/>
  <c r="F33" i="5"/>
  <c r="F34" i="5"/>
  <c r="F35" i="5"/>
  <c r="F36" i="5"/>
  <c r="F37" i="5"/>
  <c r="F38" i="5"/>
  <c r="F39" i="5"/>
  <c r="F31" i="5"/>
  <c r="F40" i="5" l="1"/>
  <c r="E21" i="4" s="1"/>
  <c r="E17" i="4"/>
  <c r="E12" i="4" l="1"/>
  <c r="G12" i="4" l="1"/>
  <c r="B14" i="5" l="1"/>
  <c r="B13" i="5"/>
  <c r="B12" i="5" l="1"/>
  <c r="B7" i="5"/>
  <c r="B11" i="5"/>
  <c r="B9" i="5"/>
  <c r="B10" i="5"/>
  <c r="C10" i="5" s="1"/>
  <c r="D10" i="5" s="1"/>
  <c r="B8" i="5"/>
  <c r="E10" i="5" l="1"/>
  <c r="F10" i="5" s="1"/>
  <c r="C8" i="5" l="1"/>
  <c r="C9" i="5"/>
  <c r="E9" i="5" s="1"/>
  <c r="C11" i="5"/>
  <c r="D11" i="5" s="1"/>
  <c r="C12" i="5"/>
  <c r="E12" i="5" s="1"/>
  <c r="C13" i="5"/>
  <c r="E13" i="5" s="1"/>
  <c r="C14" i="5"/>
  <c r="D14" i="5" s="1"/>
  <c r="C15" i="5"/>
  <c r="D15" i="5" s="1"/>
  <c r="C7" i="5"/>
  <c r="E7" i="5" s="1"/>
  <c r="D7" i="5" l="1"/>
  <c r="F7" i="5" s="1"/>
  <c r="E15" i="5"/>
  <c r="F15" i="5" s="1"/>
  <c r="D13" i="5"/>
  <c r="E14" i="5"/>
  <c r="F14" i="5" s="1"/>
  <c r="F13" i="5"/>
  <c r="D12" i="5"/>
  <c r="F12" i="5" s="1"/>
  <c r="E11" i="5"/>
  <c r="F11" i="5" s="1"/>
  <c r="D9" i="5"/>
  <c r="F9" i="5" s="1"/>
  <c r="D8" i="5"/>
  <c r="E8" i="5"/>
  <c r="F8" i="5" l="1"/>
  <c r="C12" i="3"/>
  <c r="F16" i="5" l="1"/>
  <c r="E15" i="4" s="1"/>
  <c r="G19" i="4" s="1"/>
  <c r="G23" i="4"/>
  <c r="E10" i="4"/>
  <c r="E29" i="4" l="1"/>
  <c r="E35" i="4"/>
  <c r="E34" i="4"/>
  <c r="G35" i="4" l="1"/>
  <c r="G34" i="4"/>
  <c r="G29" i="4"/>
  <c r="G11" i="4"/>
  <c r="G13" i="4"/>
  <c r="G17" i="4"/>
  <c r="G10" i="4"/>
  <c r="G36" i="4" l="1"/>
  <c r="B22" i="4" l="1"/>
  <c r="B21" i="4"/>
  <c r="G63" i="4"/>
  <c r="G64" i="4" s="1"/>
  <c r="F22" i="4" s="1"/>
  <c r="G22" i="4" s="1"/>
  <c r="G59" i="4"/>
  <c r="G60" i="4" s="1"/>
  <c r="F21" i="4" s="1"/>
  <c r="G21" i="4" s="1"/>
  <c r="B20" i="4"/>
  <c r="G55" i="4"/>
  <c r="G56" i="4" s="1"/>
  <c r="F20" i="4" s="1"/>
  <c r="G39" i="4"/>
  <c r="G40" i="4" s="1"/>
  <c r="E18" i="4"/>
  <c r="E16" i="4"/>
  <c r="E45" i="4"/>
  <c r="G45" i="4" s="1"/>
  <c r="E44" i="4"/>
  <c r="G44" i="4" s="1"/>
  <c r="E43" i="4"/>
  <c r="G43" i="4" s="1"/>
  <c r="B16" i="4"/>
  <c r="C16" i="4"/>
  <c r="G51" i="4"/>
  <c r="G50" i="4"/>
  <c r="G49" i="4"/>
  <c r="C18" i="4"/>
  <c r="B18" i="4"/>
  <c r="C14" i="4"/>
  <c r="B14" i="4"/>
  <c r="G52" i="4" l="1"/>
  <c r="F18" i="4" s="1"/>
  <c r="G18" i="4" s="1"/>
  <c r="G46" i="4"/>
  <c r="G20" i="4"/>
  <c r="F16" i="4"/>
  <c r="G16" i="4" s="1"/>
  <c r="F15" i="4" l="1"/>
  <c r="G15" i="4" s="1"/>
  <c r="F14" i="4"/>
  <c r="G14" i="4" s="1"/>
  <c r="B13" i="3"/>
  <c r="B12" i="3"/>
  <c r="G28" i="4"/>
  <c r="G30" i="4" s="1"/>
  <c r="H22" i="4" l="1"/>
  <c r="G24" i="4"/>
  <c r="F13" i="3"/>
  <c r="G13" i="3" l="1"/>
  <c r="F12" i="3" l="1"/>
  <c r="G12" i="3" l="1"/>
  <c r="F14" i="3" l="1"/>
  <c r="I12" i="3"/>
  <c r="Q12" i="3" s="1"/>
  <c r="P15" i="3"/>
  <c r="P16" i="3" s="1"/>
  <c r="F15" i="3" l="1"/>
  <c r="F16" i="3" s="1"/>
  <c r="M15" i="3"/>
  <c r="M16" i="3" s="1"/>
  <c r="N15" i="3"/>
  <c r="N16" i="3" s="1"/>
  <c r="J15" i="3"/>
  <c r="L15" i="3"/>
  <c r="L16" i="3" s="1"/>
  <c r="K15" i="3"/>
  <c r="K16" i="3" s="1"/>
  <c r="O15" i="3"/>
  <c r="O16" i="3" s="1"/>
  <c r="J16" i="3" l="1"/>
  <c r="I15" i="3" l="1"/>
  <c r="Q15" i="3" l="1"/>
  <c r="I16" i="3"/>
  <c r="Q16" i="3" l="1"/>
  <c r="B15" i="4"/>
</calcChain>
</file>

<file path=xl/sharedStrings.xml><?xml version="1.0" encoding="utf-8"?>
<sst xmlns="http://schemas.openxmlformats.org/spreadsheetml/2006/main" count="299" uniqueCount="143">
  <si>
    <t>TOTAL GERAL DA OBRA</t>
  </si>
  <si>
    <t>MÊS DE REFERÊNCIA:</t>
  </si>
  <si>
    <t>ITEM</t>
  </si>
  <si>
    <t>CÓDIGO</t>
  </si>
  <si>
    <t>DESCRIÇÃO</t>
  </si>
  <si>
    <t>UNID.</t>
  </si>
  <si>
    <t>QUANT.</t>
  </si>
  <si>
    <t>PREÇO</t>
  </si>
  <si>
    <t>UNITÁRIO</t>
  </si>
  <si>
    <t>TOTAL</t>
  </si>
  <si>
    <t>m²</t>
  </si>
  <si>
    <t>und</t>
  </si>
  <si>
    <t>COMPOSIÇÕES DE PREÇO UNITÁRIO</t>
  </si>
  <si>
    <t>UNIDADE</t>
  </si>
  <si>
    <t>COEFICIENTE</t>
  </si>
  <si>
    <t>h</t>
  </si>
  <si>
    <t>PREÇO UNITÁRIO TOTAL (und)</t>
  </si>
  <si>
    <t>73859/002</t>
  </si>
  <si>
    <t>AUXILIAR TÉCNICO DE ENGENHARIA COM ENCARGOS COMPLEMENTARES</t>
  </si>
  <si>
    <t>CAPINA E LIMPEZA MANUAL DE TERRENO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</si>
  <si>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</si>
  <si>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</si>
  <si>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</si>
  <si>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</si>
  <si>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</si>
  <si>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</si>
  <si>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</si>
  <si>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</si>
  <si>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 xml:space="preserve">Obs.: </t>
  </si>
  <si>
    <t>IFAL 1.0</t>
  </si>
  <si>
    <t>PACOMETRIA</t>
  </si>
  <si>
    <t>ESCLEROMETRIA</t>
  </si>
  <si>
    <t>PROFUNDIDADE DE CARBONATAÇÃO</t>
  </si>
  <si>
    <t>SERVIÇOS/INSUMOS</t>
  </si>
  <si>
    <t>IFAL 2.0</t>
  </si>
  <si>
    <t>PREPARO DE SUBSTRATO POR ESCARIFICAÇÃO MANUAL (CORTE DE CONCRETO) ATÉ 3,0CM DE PROFUNDIDADE</t>
  </si>
  <si>
    <t>04918/ORSE</t>
  </si>
  <si>
    <t>m³</t>
  </si>
  <si>
    <t xml:space="preserve">EXTRAÇÃO DE TESTEMUNHOS DE ELEMENTO ESTRUTURAL COM ROMPIMENTO DO CP </t>
  </si>
  <si>
    <t>IFAL 1.1</t>
  </si>
  <si>
    <t>IFAL 1.2</t>
  </si>
  <si>
    <t>PREÇO UNITÁRIO TOTAL (m³)</t>
  </si>
  <si>
    <t>INSPEÇÃO DE FUNDAÇÃO (ESCAVAÇÃO MANUAL DE VALA E RECOMPOSIÇÃO)</t>
  </si>
  <si>
    <t>IFAL 1.3</t>
  </si>
  <si>
    <t>MICROCONCRETO FLUIDO</t>
  </si>
  <si>
    <t>REPARO/COLAGEM DE ESTRUTURAS DE CONCRETO COM ADESIVO ESTRUTURAL A BASE DE EPOXI, E=2 MM</t>
  </si>
  <si>
    <t>4925/ORSE</t>
  </si>
  <si>
    <t>IFAL 1.4</t>
  </si>
  <si>
    <t>4918/ORSE</t>
  </si>
  <si>
    <t>RECOMPOSIÇÃO DE FURO, APÓS EXTRAÇÃO DE TESTEMUNHO DE ELEMENTO DE CONCRETO ARMADO, COM GRAUTE</t>
  </si>
  <si>
    <t xml:space="preserve">RECOMPOSIÇÃO DE ELEMENTO DE CONCRETO ARMADO COM GRAUTE, APÓS ESCARIFICAÇÃO </t>
  </si>
  <si>
    <t>PREÇO UNITÁRIO TOTAL (m²)</t>
  </si>
  <si>
    <t>IFAL 1.5</t>
  </si>
  <si>
    <t>PESQUISA DE MERCADO</t>
  </si>
  <si>
    <t>IFAL 1.6</t>
  </si>
  <si>
    <t>IFAL 1.7</t>
  </si>
  <si>
    <t>TOTAL DA OBRA PARA BDI 31,37%</t>
  </si>
  <si>
    <t>BDI 31,37%</t>
  </si>
  <si>
    <t>PLANILHA ORÇAMENTÁRIA</t>
  </si>
  <si>
    <t>CREA-AL/2019</t>
  </si>
  <si>
    <t>INSPEÇÃO PREDIAL, TIPO COMERCIAL , NÍVEL II, de 5001 a 8000 m².</t>
  </si>
  <si>
    <t>ESCAVAÇÃO MANUAL PARA BLOCO DE COROAMENTO OU SAPATA, COM PREVISÃO DE FÔRMA. AF_06/2017</t>
  </si>
  <si>
    <t>REATERRO MANUAL APILOADO COM SOQUETE. AF_10/2017</t>
  </si>
  <si>
    <t>Os serviços que não constam, expressamente, na composição serão executados pela equipe técnica e seus custos encontram-se embutidos no preço da mão de obra.</t>
  </si>
  <si>
    <t>ENGENHEIRO CIVIL DE OBRA SENIOR COM ENCARGOS COMPLEMENTARES</t>
  </si>
  <si>
    <t xml:space="preserve">MUNICÍPIO: SANTANA DO IPANEMA </t>
  </si>
  <si>
    <t>QUANTITATIVO DE SERVIÇOS</t>
  </si>
  <si>
    <t>Instituto Federal de Educação, Ciência e Tecnologia de Alagoas – IFAL</t>
  </si>
  <si>
    <t xml:space="preserve">Memorial de Cálculo </t>
  </si>
  <si>
    <t>Extração de testemunhos - Auditório</t>
  </si>
  <si>
    <t>Extração de testemunhos - Biblioteca</t>
  </si>
  <si>
    <t>Volume de aproximado de concreto executado</t>
  </si>
  <si>
    <t>Extração de testemunhos - Vivência</t>
  </si>
  <si>
    <t>Extração de testemunhos - Laboratórios Especiais</t>
  </si>
  <si>
    <t>Extração de testemunhos - Passarela</t>
  </si>
  <si>
    <t>Extração de testemunhos - Ginásio</t>
  </si>
  <si>
    <t>Extração de testemunhos - Guarita</t>
  </si>
  <si>
    <t>Quantidade de testemunhos por lote</t>
  </si>
  <si>
    <t>Número de testemunhos</t>
  </si>
  <si>
    <t>Formação do lote</t>
  </si>
  <si>
    <t>Número de lotes</t>
  </si>
  <si>
    <t>Extração de testemunhos - Pedagógico -Térreo</t>
  </si>
  <si>
    <t>Extração de testemunhos - Pedagógico - 1º Pavimento</t>
  </si>
  <si>
    <t>DESLOCAMENTO EM VEÍCULO PRÓPRIO DO PROFISSIONAL</t>
  </si>
  <si>
    <t>Km</t>
  </si>
  <si>
    <t>Esclerometria - Auditório</t>
  </si>
  <si>
    <t>Esclerometria - Biblioteca</t>
  </si>
  <si>
    <t>Esclerometria - Pedagógico -Térreo</t>
  </si>
  <si>
    <t>Esclerometria - Pedagógico - 1º Pavimento</t>
  </si>
  <si>
    <t>Esclerometria - Vivência</t>
  </si>
  <si>
    <t>Esclerometria - Laboratórios Especiais</t>
  </si>
  <si>
    <t>Esclerometria - Passarela</t>
  </si>
  <si>
    <t>Esclerometria - Ginásio</t>
  </si>
  <si>
    <t>Esclerometria - Guarita</t>
  </si>
  <si>
    <t>xxx</t>
  </si>
  <si>
    <t>Quantidade de elementos ensaiados</t>
  </si>
  <si>
    <t>Número de ensaios</t>
  </si>
  <si>
    <t>DEMOLIÇÃO DE ARGAMASSAS, DE FORMA MANUAL, SEM REAPROVEITAMENTO. AF_12/2017</t>
  </si>
  <si>
    <t>Demolição de argamassa - Auditório</t>
  </si>
  <si>
    <t>Demolição de argamassa - Vivência</t>
  </si>
  <si>
    <t>Demolição de argamassa - Laboratórios Especiais</t>
  </si>
  <si>
    <t>Demolição de argamassa - Guarita</t>
  </si>
  <si>
    <t xml:space="preserve">área média de superfice </t>
  </si>
  <si>
    <t>Quantidade de ensaios em áreas com revestimento de argamassa</t>
  </si>
  <si>
    <t>área total de superficie</t>
  </si>
  <si>
    <t>Pacometria- Auditório</t>
  </si>
  <si>
    <t>Pacometria- Biblioteca</t>
  </si>
  <si>
    <t>Pacometria- Pedagógico -Térreo</t>
  </si>
  <si>
    <t>Pacometria- Pedagógico - 1º Pavimento</t>
  </si>
  <si>
    <t>Pacometria- Vivência</t>
  </si>
  <si>
    <t>Pacometria- Laboratórios Especiais</t>
  </si>
  <si>
    <t>Pacometria- Passarela</t>
  </si>
  <si>
    <t>Pacometria- Ginásio</t>
  </si>
  <si>
    <t>Pacometria- Guarita</t>
  </si>
  <si>
    <t>PROJETO EXECUTIVO DE RECUPERAÇÃO E/OU REFORÇO E/OU DEMOLIÇÃO, DOS SERVIÇOS EXECUTADOS, NECESSÁRIOS PARA À COMPLEMENTAÇÃO DA OBRA DE CONSTRUÇÃO DO CAMPUS SANTANA DO IPANEMA DO IFAL.</t>
  </si>
  <si>
    <t>SERVIÇO: ELABORAÇÃO DE LAUDO PERICIAL E PROJETO EXECUTIVO DE RECUPERAÇÃO E/OU REFORÇO E/OU DEMOLIÇÃO DOS SERVIÇOS EXECUTADOS NA OBRA DE CONSTRUÇÃO DO  CAMPUS SANTANA DO IPANEMA DO INSTITUTO FEDERAL DE ALAGOAS (IFAL)</t>
  </si>
  <si>
    <t>EXTRAÇÃO DE TESTEMUNHOS E ROMPIMENTO DO CP</t>
  </si>
  <si>
    <t>IFAL 1.8</t>
  </si>
  <si>
    <t>SERVIÇO DE SONDAGEM DE SOLO  (20 FUROS)</t>
  </si>
  <si>
    <t xml:space="preserve">Os serviços que não constam, expressamente, na composição serão executados pela equipe técnica e seus custos encontram-se embutidos no preço da mão de obra.  Caso a CONTRATADA pretenda realizar mais ensaios para elaboração do laudo, eles deverão ser realizados sem custos adicionais ao CONTRATANTE.  A CONTRADA deverá realizar, no mínimo, a quantitade de ensaios previstos em memorial de cálculo, para cada lote, ou composição do orçamento, conforme documentos elaborados pelo Ifal. </t>
  </si>
  <si>
    <t>JULHO 2019</t>
  </si>
  <si>
    <t>Serviço:   Elaboração de Laudo Pericial e Projeto Executivo de Recuperação e/ou Reforço e/ou Demolição dos serviços executados na Obra de Construção do  Campus Santana do Ipanema do Instituto Federal de Alagoas (IFAL)</t>
  </si>
  <si>
    <t>ELABORAÇÃO DE LAUDO PERICIAL, COM A UTILIZAÇÃO DE ENSAIOS, PARA IDENTIFICAÇÃO E DESCRIÇÃO DAS MANIFESTAÇÕES PATOLÓGICAS PRESENTES NA OBRA DE CONSTRUÇÃO DO CAMPUS SANTANA DO IPANEMA DO IFAL.</t>
  </si>
  <si>
    <t>CRONOGRAMA FÍSICO-FINANCEIRO</t>
  </si>
  <si>
    <t>ETAPA 1 (60 DIAS)</t>
  </si>
  <si>
    <t>ETAPA 2 (60 DIAS)</t>
  </si>
  <si>
    <t xml:space="preserve">TOTAL: </t>
  </si>
  <si>
    <t>TOTAL ACUMULADO</t>
  </si>
  <si>
    <t>30 DIAS</t>
  </si>
  <si>
    <t>10 DIAS</t>
  </si>
  <si>
    <t>20 DIAS</t>
  </si>
  <si>
    <t>15 DIAS</t>
  </si>
  <si>
    <t>DIAS</t>
  </si>
  <si>
    <t xml:space="preserve">Elaboração de Laudo Pericial </t>
  </si>
  <si>
    <t>Análise do Laudo Pericial</t>
  </si>
  <si>
    <t>Possíveis Correções do Laudo Pericial</t>
  </si>
  <si>
    <t>Elaboração de Projeto Executivo</t>
  </si>
  <si>
    <t>Análise do Projeto Executivo</t>
  </si>
  <si>
    <t>Possíveis Correções do Projeto Executivo</t>
  </si>
  <si>
    <t>Apresentação do Laudo Pericial e Projeto Executivo à Comissão de Recebimento</t>
  </si>
  <si>
    <t>Possíveis Correções do Laudo Pericial e Projeto Executivo</t>
  </si>
  <si>
    <t>Obs.: Os produtos de cada etapa deverão ser submetidos à aprovação da fiscalização que deverá providenciar atestado de conformidade, ou não, para posterior prosseguimento no cronograma de etapas e prazos. Na terceira etapa, o Laudo Pericial e Projeto Executivo serão apresentados e submetidos à análise de Comissão de Recebimento, que poderá solicitar correções, independente de terem sido apontadas anteriormente em outras etapas.</t>
  </si>
  <si>
    <t>ETAPA 3 (30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</si>
</sst>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\ ;&quot; (&quot;#,##0.00\);&quot; -&quot;#\ ;@\ "/>
    <numFmt numFmtId="165" formatCode="#,##0.00\ ;\-#,##0.00\ ;&quot; -&quot;#\ ;@\ "/>
    <numFmt numFmtId="166" formatCode="&quot; R$ &quot;#,##0.00\ ;&quot;-R$ &quot;#,##0.00\ ;&quot; R$ -&quot;#\ ;@\ "/>
    <numFmt numFmtId="167" formatCode="[$R$-416]\ #,##0.00\ ;\-[$R$-416]\ #,##0.00\ ;[$R$-416]&quot; -&quot;#\ ;@\ "/>
    <numFmt numFmtId="168" formatCode="0.000"/>
    <numFmt numFmtId="169" formatCode="#,##0.00&quot; &quot;;&quot;-&quot;#,##0.00&quot; &quot;;&quot; -&quot;#&quot; &quot;;@&quot; &quot;"/>
    <numFmt numFmtId="170" formatCode="[$R$-416]&quot; &quot;#,##0.00;[Red]&quot;-&quot;[$R$-416]&quot; &quot;#,##0.00"/>
    <numFmt numFmtId="171" formatCode="#,##0.00&quot; &quot;;&quot; (&quot;#,##0.00&quot;)&quot;;&quot; -&quot;#&quot; &quot;;@&quot; &quot;"/>
    <numFmt numFmtId="172" formatCode="#,##0&quot; €&quot;;&quot;-&quot;#,##0&quot; €&quot;"/>
    <numFmt numFmtId="173" formatCode="&quot;R$&quot;\ #,##0.00"/>
    <numFmt numFmtId="174" formatCode="0.0000"/>
  </numFmts>
  <fonts count="5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Segoe U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1"/>
    </font>
    <font>
      <sz val="10"/>
      <color rgb="FF000000"/>
      <name val="Arial1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92D050"/>
        <bgColor rgb="FF94BD5E"/>
      </patternFill>
    </fill>
    <fill>
      <patternFill patternType="solid">
        <fgColor rgb="FF808080"/>
        <bgColor rgb="FF77933C"/>
      </patternFill>
    </fill>
    <fill>
      <patternFill patternType="solid">
        <fgColor rgb="FFD9D9D9"/>
        <bgColor rgb="FFD7E4BD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77933C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/>
        <bgColor rgb="FF77933C"/>
      </patternFill>
    </fill>
    <fill>
      <patternFill patternType="solid">
        <fgColor theme="6" tint="0.79998168889431442"/>
        <bgColor rgb="FF0033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E6E6FF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89">
    <xf numFmtId="0" fontId="0" fillId="0" borderId="0"/>
    <xf numFmtId="166" fontId="7" fillId="0" borderId="0"/>
    <xf numFmtId="9" fontId="7" fillId="0" borderId="0"/>
    <xf numFmtId="164" fontId="8" fillId="0" borderId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12" applyNumberFormat="0" applyAlignment="0" applyProtection="0"/>
    <xf numFmtId="0" fontId="27" fillId="9" borderId="13" applyNumberFormat="0" applyAlignment="0" applyProtection="0"/>
    <xf numFmtId="0" fontId="28" fillId="9" borderId="12" applyNumberFormat="0" applyAlignment="0" applyProtection="0"/>
    <xf numFmtId="0" fontId="29" fillId="0" borderId="14" applyNumberFormat="0" applyFill="0" applyAlignment="0" applyProtection="0"/>
    <xf numFmtId="0" fontId="30" fillId="10" borderId="1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0"/>
    <xf numFmtId="0" fontId="6" fillId="11" borderId="1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11" borderId="1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5" fillId="0" borderId="0"/>
    <xf numFmtId="166" fontId="7" fillId="0" borderId="0"/>
    <xf numFmtId="0" fontId="2" fillId="0" borderId="0"/>
    <xf numFmtId="0" fontId="8" fillId="0" borderId="0"/>
    <xf numFmtId="0" fontId="36" fillId="0" borderId="0" applyFont="0" applyFill="0" applyBorder="0" applyAlignment="0" applyProtection="0"/>
    <xf numFmtId="164" fontId="37" fillId="0" borderId="0"/>
    <xf numFmtId="0" fontId="7" fillId="0" borderId="0"/>
    <xf numFmtId="169" fontId="38" fillId="0" borderId="0"/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 textRotation="90"/>
    </xf>
    <xf numFmtId="0" fontId="39" fillId="0" borderId="0">
      <alignment horizontal="center" textRotation="90"/>
    </xf>
    <xf numFmtId="0" fontId="7" fillId="0" borderId="0"/>
    <xf numFmtId="0" fontId="38" fillId="0" borderId="0"/>
    <xf numFmtId="0" fontId="7" fillId="36" borderId="1"/>
    <xf numFmtId="0" fontId="40" fillId="0" borderId="0"/>
    <xf numFmtId="0" fontId="40" fillId="0" borderId="0"/>
    <xf numFmtId="170" fontId="40" fillId="0" borderId="0"/>
    <xf numFmtId="170" fontId="40" fillId="0" borderId="0"/>
    <xf numFmtId="171" fontId="7" fillId="0" borderId="0"/>
    <xf numFmtId="172" fontId="38" fillId="0" borderId="0"/>
    <xf numFmtId="171" fontId="7" fillId="0" borderId="0"/>
    <xf numFmtId="171" fontId="38" fillId="0" borderId="0"/>
    <xf numFmtId="169" fontId="38" fillId="0" borderId="0"/>
    <xf numFmtId="0" fontId="1" fillId="0" borderId="0"/>
    <xf numFmtId="9" fontId="7" fillId="0" borderId="0"/>
    <xf numFmtId="165" fontId="8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9" fontId="7" fillId="0" borderId="4" xfId="2" applyBorder="1" applyAlignment="1">
      <alignment horizontal="center"/>
    </xf>
    <xf numFmtId="0" fontId="18" fillId="0" borderId="0" xfId="0" applyFont="1"/>
    <xf numFmtId="9" fontId="17" fillId="0" borderId="4" xfId="2" applyFont="1" applyBorder="1" applyAlignment="1">
      <alignment horizontal="center"/>
    </xf>
    <xf numFmtId="173" fontId="17" fillId="0" borderId="4" xfId="2" applyNumberFormat="1" applyFont="1" applyBorder="1" applyAlignment="1">
      <alignment horizontal="center"/>
    </xf>
    <xf numFmtId="166" fontId="17" fillId="0" borderId="17" xfId="1" applyFont="1" applyFill="1" applyBorder="1" applyAlignment="1" applyProtection="1">
      <alignment horizontal="center" vertical="center"/>
    </xf>
    <xf numFmtId="166" fontId="17" fillId="0" borderId="4" xfId="1" applyFont="1" applyFill="1" applyBorder="1" applyAlignment="1" applyProtection="1">
      <alignment horizontal="center" vertical="center"/>
    </xf>
    <xf numFmtId="173" fontId="18" fillId="0" borderId="0" xfId="0" applyNumberFormat="1" applyFont="1"/>
    <xf numFmtId="173" fontId="0" fillId="0" borderId="0" xfId="0" applyNumberFormat="1"/>
    <xf numFmtId="166" fontId="18" fillId="0" borderId="0" xfId="0" applyNumberFormat="1" applyFont="1"/>
    <xf numFmtId="10" fontId="7" fillId="0" borderId="0" xfId="2" applyNumberFormat="1"/>
    <xf numFmtId="166" fontId="0" fillId="0" borderId="0" xfId="0" applyNumberFormat="1" applyAlignment="1">
      <alignment horizontal="center"/>
    </xf>
    <xf numFmtId="0" fontId="16" fillId="4" borderId="4" xfId="0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 applyProtection="1">
      <alignment horizontal="center" vertical="center"/>
    </xf>
    <xf numFmtId="166" fontId="14" fillId="0" borderId="4" xfId="1" applyFont="1" applyBorder="1" applyAlignment="1" applyProtection="1">
      <alignment horizontal="center" vertical="center"/>
    </xf>
    <xf numFmtId="166" fontId="14" fillId="0" borderId="4" xfId="1" applyNumberFormat="1" applyFont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65" fontId="14" fillId="0" borderId="4" xfId="0" applyNumberFormat="1" applyFont="1" applyBorder="1" applyAlignment="1" applyProtection="1">
      <alignment horizontal="center" vertical="center"/>
    </xf>
    <xf numFmtId="166" fontId="14" fillId="0" borderId="4" xfId="0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justify" vertical="center" wrapText="1"/>
    </xf>
    <xf numFmtId="2" fontId="15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0" fillId="39" borderId="4" xfId="0" applyFill="1" applyBorder="1" applyAlignment="1">
      <alignment horizontal="center" vertical="center"/>
    </xf>
    <xf numFmtId="0" fontId="10" fillId="41" borderId="4" xfId="0" applyFont="1" applyFill="1" applyBorder="1" applyAlignment="1">
      <alignment horizontal="center" vertical="center" wrapText="1"/>
    </xf>
    <xf numFmtId="166" fontId="10" fillId="41" borderId="4" xfId="0" applyNumberFormat="1" applyFont="1" applyFill="1" applyBorder="1" applyAlignment="1">
      <alignment horizontal="center" vertical="center" wrapText="1"/>
    </xf>
    <xf numFmtId="167" fontId="11" fillId="3" borderId="4" xfId="0" applyNumberFormat="1" applyFont="1" applyFill="1" applyBorder="1" applyAlignment="1">
      <alignment horizontal="center"/>
    </xf>
    <xf numFmtId="166" fontId="15" fillId="0" borderId="4" xfId="1" applyFont="1" applyBorder="1" applyAlignment="1" applyProtection="1">
      <alignment horizontal="center" vertical="center"/>
    </xf>
    <xf numFmtId="2" fontId="15" fillId="0" borderId="4" xfId="0" applyNumberFormat="1" applyFont="1" applyBorder="1" applyAlignment="1" applyProtection="1">
      <alignment horizontal="center" vertical="center"/>
    </xf>
    <xf numFmtId="174" fontId="14" fillId="0" borderId="4" xfId="0" applyNumberFormat="1" applyFont="1" applyBorder="1" applyAlignment="1" applyProtection="1">
      <alignment horizontal="center" vertical="center"/>
    </xf>
    <xf numFmtId="0" fontId="41" fillId="0" borderId="20" xfId="0" applyFont="1" applyBorder="1" applyAlignment="1">
      <alignment vertical="top"/>
    </xf>
    <xf numFmtId="166" fontId="14" fillId="42" borderId="4" xfId="1" applyFont="1" applyFill="1" applyBorder="1" applyAlignment="1" applyProtection="1">
      <alignment horizontal="center" vertical="center"/>
    </xf>
    <xf numFmtId="0" fontId="15" fillId="42" borderId="4" xfId="0" applyFont="1" applyFill="1" applyBorder="1" applyAlignment="1">
      <alignment horizontal="justify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0" xfId="65"/>
    <xf numFmtId="2" fontId="46" fillId="0" borderId="0" xfId="65" applyNumberFormat="1" applyFont="1" applyBorder="1" applyAlignment="1">
      <alignment horizontal="center" vertical="center"/>
    </xf>
    <xf numFmtId="2" fontId="8" fillId="0" borderId="0" xfId="65" applyNumberFormat="1"/>
    <xf numFmtId="0" fontId="45" fillId="0" borderId="4" xfId="65" applyFont="1" applyBorder="1" applyAlignment="1">
      <alignment wrapText="1"/>
    </xf>
    <xf numFmtId="2" fontId="8" fillId="0" borderId="4" xfId="65" applyNumberFormat="1" applyFont="1" applyBorder="1" applyAlignment="1">
      <alignment horizontal="center" vertical="center"/>
    </xf>
    <xf numFmtId="2" fontId="8" fillId="0" borderId="4" xfId="65" applyNumberFormat="1" applyFont="1" applyBorder="1" applyAlignment="1">
      <alignment horizontal="center"/>
    </xf>
    <xf numFmtId="2" fontId="45" fillId="0" borderId="4" xfId="65" applyNumberFormat="1" applyFont="1" applyBorder="1" applyAlignment="1">
      <alignment horizontal="center"/>
    </xf>
    <xf numFmtId="2" fontId="46" fillId="0" borderId="4" xfId="65" applyNumberFormat="1" applyFont="1" applyBorder="1" applyAlignment="1">
      <alignment horizontal="center" vertical="center"/>
    </xf>
    <xf numFmtId="1" fontId="8" fillId="0" borderId="4" xfId="65" applyNumberFormat="1" applyFont="1" applyBorder="1" applyAlignment="1">
      <alignment horizontal="center" vertical="center"/>
    </xf>
    <xf numFmtId="0" fontId="14" fillId="42" borderId="4" xfId="0" applyFont="1" applyFill="1" applyBorder="1" applyAlignment="1">
      <alignment horizontal="center" vertical="center" wrapText="1"/>
    </xf>
    <xf numFmtId="0" fontId="15" fillId="42" borderId="4" xfId="0" applyFont="1" applyFill="1" applyBorder="1" applyAlignment="1">
      <alignment horizontal="center" vertical="center"/>
    </xf>
    <xf numFmtId="2" fontId="15" fillId="42" borderId="4" xfId="0" applyNumberFormat="1" applyFont="1" applyFill="1" applyBorder="1" applyAlignment="1" applyProtection="1">
      <alignment horizontal="center" vertical="center"/>
    </xf>
    <xf numFmtId="166" fontId="14" fillId="42" borderId="4" xfId="1" applyNumberFormat="1" applyFont="1" applyFill="1" applyBorder="1" applyAlignment="1" applyProtection="1">
      <alignment horizontal="center" vertical="center"/>
    </xf>
    <xf numFmtId="2" fontId="47" fillId="0" borderId="4" xfId="65" applyNumberFormat="1" applyFont="1" applyBorder="1" applyAlignment="1">
      <alignment horizontal="center" vertical="center"/>
    </xf>
    <xf numFmtId="1" fontId="8" fillId="42" borderId="4" xfId="6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10" fontId="0" fillId="0" borderId="0" xfId="0" applyNumberFormat="1"/>
    <xf numFmtId="4" fontId="0" fillId="0" borderId="0" xfId="0" applyNumberFormat="1" applyAlignment="1">
      <alignment vertical="center"/>
    </xf>
    <xf numFmtId="166" fontId="15" fillId="42" borderId="4" xfId="1" applyFont="1" applyFill="1" applyBorder="1" applyAlignment="1" applyProtection="1">
      <alignment horizontal="center" vertical="center"/>
    </xf>
    <xf numFmtId="166" fontId="14" fillId="42" borderId="4" xfId="0" applyNumberFormat="1" applyFont="1" applyFill="1" applyBorder="1" applyAlignment="1" applyProtection="1">
      <alignment horizontal="center" vertical="center"/>
    </xf>
    <xf numFmtId="0" fontId="0" fillId="42" borderId="0" xfId="0" applyFill="1" applyBorder="1" applyAlignment="1">
      <alignment horizontal="center"/>
    </xf>
    <xf numFmtId="0" fontId="12" fillId="42" borderId="0" xfId="0" applyFont="1" applyFill="1" applyBorder="1" applyAlignment="1">
      <alignment horizontal="center" vertical="center"/>
    </xf>
    <xf numFmtId="49" fontId="42" fillId="42" borderId="0" xfId="0" applyNumberFormat="1" applyFont="1" applyFill="1" applyBorder="1" applyAlignment="1">
      <alignment horizontal="center"/>
    </xf>
    <xf numFmtId="0" fontId="0" fillId="42" borderId="0" xfId="0" applyFill="1" applyBorder="1" applyAlignment="1"/>
    <xf numFmtId="0" fontId="0" fillId="42" borderId="18" xfId="0" applyFill="1" applyBorder="1" applyAlignment="1"/>
    <xf numFmtId="0" fontId="0" fillId="42" borderId="0" xfId="0" applyFill="1"/>
    <xf numFmtId="0" fontId="18" fillId="42" borderId="0" xfId="0" applyFont="1" applyFill="1"/>
    <xf numFmtId="0" fontId="0" fillId="42" borderId="0" xfId="0" applyFill="1" applyAlignment="1">
      <alignment horizontal="center"/>
    </xf>
    <xf numFmtId="0" fontId="0" fillId="42" borderId="8" xfId="0" applyFill="1" applyBorder="1"/>
    <xf numFmtId="0" fontId="0" fillId="42" borderId="17" xfId="0" applyFill="1" applyBorder="1"/>
    <xf numFmtId="0" fontId="8" fillId="42" borderId="0" xfId="65" applyFill="1"/>
    <xf numFmtId="0" fontId="0" fillId="0" borderId="4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41" borderId="4" xfId="0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4" fillId="0" borderId="5" xfId="0" applyFont="1" applyBorder="1" applyAlignment="1">
      <alignment horizontal="left" wrapText="1"/>
    </xf>
    <xf numFmtId="0" fontId="44" fillId="0" borderId="6" xfId="0" applyFont="1" applyBorder="1" applyAlignment="1">
      <alignment horizontal="left" wrapText="1"/>
    </xf>
    <xf numFmtId="0" fontId="44" fillId="0" borderId="7" xfId="0" applyFont="1" applyBorder="1" applyAlignment="1">
      <alignment horizontal="left" wrapText="1"/>
    </xf>
    <xf numFmtId="0" fontId="43" fillId="0" borderId="5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9" fillId="40" borderId="5" xfId="0" applyFont="1" applyFill="1" applyBorder="1" applyAlignment="1">
      <alignment horizontal="right" indent="1"/>
    </xf>
    <xf numFmtId="0" fontId="9" fillId="40" borderId="6" xfId="0" applyFont="1" applyFill="1" applyBorder="1" applyAlignment="1">
      <alignment horizontal="right" indent="1"/>
    </xf>
    <xf numFmtId="0" fontId="9" fillId="40" borderId="7" xfId="0" applyFont="1" applyFill="1" applyBorder="1" applyAlignment="1">
      <alignment horizontal="right" indent="1"/>
    </xf>
    <xf numFmtId="0" fontId="11" fillId="37" borderId="5" xfId="0" applyFont="1" applyFill="1" applyBorder="1" applyAlignment="1">
      <alignment horizontal="right" indent="1"/>
    </xf>
    <xf numFmtId="0" fontId="11" fillId="37" borderId="6" xfId="0" applyFont="1" applyFill="1" applyBorder="1" applyAlignment="1">
      <alignment horizontal="right" indent="1"/>
    </xf>
    <xf numFmtId="0" fontId="11" fillId="37" borderId="7" xfId="0" applyFont="1" applyFill="1" applyBorder="1" applyAlignment="1">
      <alignment horizontal="right" indent="1"/>
    </xf>
    <xf numFmtId="166" fontId="11" fillId="37" borderId="5" xfId="0" applyNumberFormat="1" applyFont="1" applyFill="1" applyBorder="1" applyAlignment="1">
      <alignment horizontal="center"/>
    </xf>
    <xf numFmtId="166" fontId="11" fillId="37" borderId="7" xfId="0" applyNumberFormat="1" applyFont="1" applyFill="1" applyBorder="1" applyAlignment="1">
      <alignment horizontal="center"/>
    </xf>
    <xf numFmtId="166" fontId="11" fillId="38" borderId="5" xfId="0" applyNumberFormat="1" applyFont="1" applyFill="1" applyBorder="1" applyAlignment="1">
      <alignment horizontal="center"/>
    </xf>
    <xf numFmtId="166" fontId="11" fillId="38" borderId="7" xfId="0" applyNumberFormat="1" applyFont="1" applyFill="1" applyBorder="1" applyAlignment="1">
      <alignment horizontal="center"/>
    </xf>
    <xf numFmtId="166" fontId="9" fillId="40" borderId="5" xfId="0" applyNumberFormat="1" applyFont="1" applyFill="1" applyBorder="1" applyAlignment="1">
      <alignment horizontal="center"/>
    </xf>
    <xf numFmtId="166" fontId="9" fillId="40" borderId="7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right"/>
    </xf>
    <xf numFmtId="0" fontId="41" fillId="0" borderId="18" xfId="0" applyFont="1" applyBorder="1" applyAlignment="1">
      <alignment horizontal="left" wrapText="1"/>
    </xf>
    <xf numFmtId="0" fontId="41" fillId="0" borderId="19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8" fillId="42" borderId="18" xfId="0" applyFont="1" applyFill="1" applyBorder="1" applyAlignment="1">
      <alignment horizontal="left" wrapText="1"/>
    </xf>
    <xf numFmtId="0" fontId="8" fillId="42" borderId="19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center" vertical="center"/>
    </xf>
    <xf numFmtId="0" fontId="45" fillId="0" borderId="20" xfId="65" applyFont="1" applyBorder="1" applyAlignment="1">
      <alignment horizontal="center" vertical="center" wrapText="1"/>
    </xf>
    <xf numFmtId="0" fontId="45" fillId="0" borderId="17" xfId="65" applyFont="1" applyBorder="1" applyAlignment="1">
      <alignment horizontal="center" vertical="center" wrapText="1"/>
    </xf>
    <xf numFmtId="0" fontId="45" fillId="45" borderId="20" xfId="65" applyFont="1" applyFill="1" applyBorder="1" applyAlignment="1">
      <alignment horizontal="center" vertical="center"/>
    </xf>
    <xf numFmtId="0" fontId="45" fillId="45" borderId="17" xfId="65" applyFont="1" applyFill="1" applyBorder="1" applyAlignment="1">
      <alignment horizontal="center" vertical="center"/>
    </xf>
    <xf numFmtId="0" fontId="45" fillId="43" borderId="4" xfId="65" applyFont="1" applyFill="1" applyBorder="1" applyAlignment="1">
      <alignment horizontal="center" vertical="center"/>
    </xf>
    <xf numFmtId="0" fontId="45" fillId="43" borderId="4" xfId="65" applyFont="1" applyFill="1" applyBorder="1" applyAlignment="1">
      <alignment horizontal="center" vertical="center" wrapText="1"/>
    </xf>
    <xf numFmtId="0" fontId="45" fillId="44" borderId="4" xfId="65" applyFont="1" applyFill="1" applyBorder="1" applyAlignment="1">
      <alignment horizontal="center" vertical="center"/>
    </xf>
    <xf numFmtId="0" fontId="50" fillId="0" borderId="27" xfId="0" applyFont="1" applyBorder="1" applyAlignment="1">
      <alignment horizontal="justify" vertical="center" wrapText="1"/>
    </xf>
    <xf numFmtId="0" fontId="50" fillId="0" borderId="26" xfId="0" applyFont="1" applyBorder="1" applyAlignment="1">
      <alignment horizontal="justify" vertical="center" wrapText="1"/>
    </xf>
    <xf numFmtId="0" fontId="48" fillId="0" borderId="26" xfId="0" applyFont="1" applyBorder="1" applyAlignment="1">
      <alignment horizontal="justify" vertical="center" wrapText="1"/>
    </xf>
    <xf numFmtId="0" fontId="48" fillId="46" borderId="26" xfId="0" applyFont="1" applyFill="1" applyBorder="1" applyAlignment="1">
      <alignment horizontal="justify" vertical="center" wrapText="1"/>
    </xf>
    <xf numFmtId="0" fontId="48" fillId="47" borderId="26" xfId="0" applyFont="1" applyFill="1" applyBorder="1" applyAlignment="1">
      <alignment horizontal="justify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50" fillId="0" borderId="0" xfId="0" applyFont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10" fontId="50" fillId="0" borderId="21" xfId="0" applyNumberFormat="1" applyFont="1" applyBorder="1" applyAlignment="1">
      <alignment horizontal="center" vertical="center" wrapText="1"/>
    </xf>
    <xf numFmtId="10" fontId="50" fillId="0" borderId="22" xfId="0" applyNumberFormat="1" applyFont="1" applyBorder="1" applyAlignment="1">
      <alignment horizontal="center" vertical="center" wrapText="1"/>
    </xf>
    <xf numFmtId="10" fontId="50" fillId="0" borderId="23" xfId="0" applyNumberFormat="1" applyFont="1" applyBorder="1" applyAlignment="1">
      <alignment horizontal="center" vertical="center" wrapText="1"/>
    </xf>
    <xf numFmtId="9" fontId="50" fillId="0" borderId="21" xfId="0" applyNumberFormat="1" applyFont="1" applyBorder="1" applyAlignment="1">
      <alignment horizontal="center" vertical="center" wrapText="1"/>
    </xf>
    <xf numFmtId="9" fontId="50" fillId="0" borderId="23" xfId="0" applyNumberFormat="1" applyFont="1" applyBorder="1" applyAlignment="1">
      <alignment horizontal="center" vertical="center" wrapText="1"/>
    </xf>
    <xf numFmtId="9" fontId="50" fillId="0" borderId="22" xfId="0" applyNumberFormat="1" applyFont="1" applyBorder="1" applyAlignment="1">
      <alignment horizontal="center" vertical="center" wrapText="1"/>
    </xf>
    <xf numFmtId="0" fontId="48" fillId="0" borderId="29" xfId="0" applyFont="1" applyBorder="1" applyAlignment="1">
      <alignment horizontal="justify" vertical="center" wrapText="1"/>
    </xf>
    <xf numFmtId="0" fontId="48" fillId="0" borderId="24" xfId="0" applyFont="1" applyBorder="1" applyAlignment="1">
      <alignment horizontal="justify" vertical="center" wrapText="1"/>
    </xf>
    <xf numFmtId="0" fontId="48" fillId="47" borderId="29" xfId="0" applyFont="1" applyFill="1" applyBorder="1" applyAlignment="1">
      <alignment horizontal="justify" vertical="center" wrapText="1"/>
    </xf>
    <xf numFmtId="0" fontId="48" fillId="47" borderId="24" xfId="0" applyFont="1" applyFill="1" applyBorder="1" applyAlignment="1">
      <alignment horizontal="justify" vertical="center" wrapText="1"/>
    </xf>
    <xf numFmtId="0" fontId="48" fillId="46" borderId="29" xfId="0" applyFont="1" applyFill="1" applyBorder="1" applyAlignment="1">
      <alignment horizontal="justify" vertical="center" wrapText="1"/>
    </xf>
    <xf numFmtId="0" fontId="48" fillId="46" borderId="24" xfId="0" applyFont="1" applyFill="1" applyBorder="1" applyAlignment="1">
      <alignment horizontal="justify" vertical="center" wrapText="1"/>
    </xf>
    <xf numFmtId="0" fontId="51" fillId="0" borderId="31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</cellXfs>
  <cellStyles count="89">
    <cellStyle name="20% - Ênfase1" xfId="21" builtinId="30" customBuiltin="1"/>
    <cellStyle name="20% - Ênfase1 2" xfId="50"/>
    <cellStyle name="20% - Ênfase2" xfId="25" builtinId="34" customBuiltin="1"/>
    <cellStyle name="20% - Ênfase2 2" xfId="52"/>
    <cellStyle name="20% - Ênfase3" xfId="29" builtinId="38" customBuiltin="1"/>
    <cellStyle name="20% - Ênfase3 2" xfId="54"/>
    <cellStyle name="20% - Ênfase4" xfId="33" builtinId="42" customBuiltin="1"/>
    <cellStyle name="20% - Ênfase4 2" xfId="56"/>
    <cellStyle name="20% - Ênfase5" xfId="37" builtinId="46" customBuiltin="1"/>
    <cellStyle name="20% - Ênfase5 2" xfId="58"/>
    <cellStyle name="20% - Ênfase6" xfId="41" builtinId="50" customBuiltin="1"/>
    <cellStyle name="20% - Ênfase6 2" xfId="60"/>
    <cellStyle name="40% - Ênfase1" xfId="22" builtinId="31" customBuiltin="1"/>
    <cellStyle name="40% - Ênfase1 2" xfId="51"/>
    <cellStyle name="40% - Ênfase2" xfId="26" builtinId="35" customBuiltin="1"/>
    <cellStyle name="40% - Ênfase2 2" xfId="53"/>
    <cellStyle name="40% - Ênfase3" xfId="30" builtinId="39" customBuiltin="1"/>
    <cellStyle name="40% - Ênfase3 2" xfId="55"/>
    <cellStyle name="40% - Ênfase4" xfId="34" builtinId="43" customBuiltin="1"/>
    <cellStyle name="40% - Ênfase4 2" xfId="57"/>
    <cellStyle name="40% - Ênfase5" xfId="38" builtinId="47" customBuiltin="1"/>
    <cellStyle name="40% - Ênfase5 2" xfId="59"/>
    <cellStyle name="40% - Ênfase6" xfId="42" builtinId="51" customBuiltin="1"/>
    <cellStyle name="40% - Ênfase6 2" xfId="6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2" builtinId="20" customBuiltin="1"/>
    <cellStyle name="Excel_BuiltIn_Comma" xfId="69"/>
    <cellStyle name="Heading" xfId="70"/>
    <cellStyle name="Heading (user)" xfId="71"/>
    <cellStyle name="Heading1" xfId="72"/>
    <cellStyle name="Heading1 (user)" xfId="73"/>
    <cellStyle name="Incorreto" xfId="10" builtinId="27" customBuiltin="1"/>
    <cellStyle name="Moeda" xfId="1" builtinId="4"/>
    <cellStyle name="Moeda 2" xfId="63"/>
    <cellStyle name="Neutra" xfId="11" builtinId="28" customBuiltin="1"/>
    <cellStyle name="Normal" xfId="0" builtinId="0"/>
    <cellStyle name="Normal 2" xfId="44"/>
    <cellStyle name="Normal 2 2" xfId="74"/>
    <cellStyle name="Normal 2 3" xfId="86"/>
    <cellStyle name="Normal 3" xfId="46"/>
    <cellStyle name="Normal 3 2" xfId="75"/>
    <cellStyle name="Normal 4" xfId="47"/>
    <cellStyle name="Normal 5" xfId="48"/>
    <cellStyle name="Normal 6" xfId="62"/>
    <cellStyle name="Normal 7" xfId="64"/>
    <cellStyle name="Normal 8" xfId="68"/>
    <cellStyle name="Normal 9" xfId="65"/>
    <cellStyle name="Nota 2" xfId="45"/>
    <cellStyle name="Nota 2 2" xfId="76"/>
    <cellStyle name="Nota 3" xfId="49"/>
    <cellStyle name="Porcentagem" xfId="2" builtinId="5"/>
    <cellStyle name="Porcentagem 2" xfId="87"/>
    <cellStyle name="Result" xfId="77"/>
    <cellStyle name="Result (user)" xfId="78"/>
    <cellStyle name="Result2" xfId="79"/>
    <cellStyle name="Result2 (user)" xfId="80"/>
    <cellStyle name="Saída" xfId="13" builtinId="21" customBuiltin="1"/>
    <cellStyle name="Separador de milhares 2" xfId="66"/>
    <cellStyle name="Separador de milhares 2 2" xfId="81"/>
    <cellStyle name="Separador de milhares 28" xfId="82"/>
    <cellStyle name="Separador de milhares 28 2" xfId="83"/>
    <cellStyle name="Separador de milhares 4" xfId="67"/>
    <cellStyle name="Separador de milhares 4 2" xfId="84"/>
    <cellStyle name="TableStyleLight1" xfId="3"/>
    <cellStyle name="TableStyleLight1 2" xfId="85"/>
    <cellStyle name="Texto de Aviso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19" builtinId="25" customBuiltin="1"/>
    <cellStyle name="Vírgula 2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AE00"/>
      <rgbColor rgb="000000FF"/>
      <rgbColor rgb="00FFFF00"/>
      <rgbColor rgb="00FF00FF"/>
      <rgbColor rgb="0000B8FF"/>
      <rgbColor rgb="00800000"/>
      <rgbColor rgb="00008000"/>
      <rgbColor rgb="00000080"/>
      <rgbColor rgb="0077933C"/>
      <rgbColor rgb="00800080"/>
      <rgbColor rgb="000070C0"/>
      <rgbColor rgb="00C0C0C0"/>
      <rgbColor rgb="00808080"/>
      <rgbColor rgb="0094BD5E"/>
      <rgbColor rgb="00C0504D"/>
      <rgbColor rgb="00FFFFCC"/>
      <rgbColor rgb="00D7E4BD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4D1"/>
      <rgbColor rgb="002300DC"/>
      <rgbColor rgb="0000DCFF"/>
      <rgbColor rgb="00CCFFFF"/>
      <rgbColor rgb="00EBF1DE"/>
      <rgbColor rgb="00FFFF99"/>
      <rgbColor rgb="0083CAFF"/>
      <rgbColor rgb="00FF99CC"/>
      <rgbColor rgb="00BFBFBF"/>
      <rgbColor rgb="00D9D9D9"/>
      <rgbColor rgb="000047FF"/>
      <rgbColor rgb="0033CCCC"/>
      <rgbColor rgb="0092D050"/>
      <rgbColor rgb="00FFCC00"/>
      <rgbColor rgb="00FF950E"/>
      <rgbColor rgb="00FF420E"/>
      <rgbColor rgb="00604A7B"/>
      <rgbColor rgb="00B2B2B2"/>
      <rgbColor rgb="00003366"/>
      <rgbColor rgb="0000B050"/>
      <rgbColor rgb="00003300"/>
      <rgbColor rgb="00333300"/>
      <rgbColor rgb="00DC2300"/>
      <rgbColor rgb="00FF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FCFB"/>
      <color rgb="FFF4F5D9"/>
      <color rgb="FFD5F6F9"/>
      <color rgb="FF990000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420415</xdr:colOff>
      <xdr:row>1</xdr:row>
      <xdr:rowOff>6568</xdr:rowOff>
    </xdr:from>
    <xdr:to>
      <xdr:col>2</xdr:col>
      <xdr:colOff>21123</xdr:colOff>
      <xdr:row>5</xdr:row>
      <xdr:rowOff>52003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415" y="190499"/>
          <a:ext cx="724001" cy="781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1508400</xdr:colOff>
      <xdr:row>0</xdr:row>
      <xdr:rowOff>172080</xdr:rowOff>
    </xdr:from>
    <xdr:to>
      <xdr:col>3</xdr:col>
      <xdr:colOff>294840</xdr:colOff>
      <xdr:row>5</xdr:row>
      <xdr:rowOff>44640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040" y="172080"/>
          <a:ext cx="2378160" cy="88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topLeftCell="A4" zoomScale="145" zoomScaleNormal="145" workbookViewId="0">
      <selection activeCell="C20" sqref="C20"/>
    </sheetView>
  </sheetViews>
  <sheetFormatPr defaultRowHeight="14.25"/>
  <cols>
    <col min="1" max="1" width="5.875" bestFit="1" customWidth="1"/>
    <col min="2" max="2" width="8.875" customWidth="1"/>
    <col min="3" max="3" width="47.75" customWidth="1"/>
    <col min="4" max="4" width="6.25"/>
    <col min="5" max="5" width="7.25" customWidth="1"/>
    <col min="6" max="6" width="10.625" bestFit="1" customWidth="1"/>
    <col min="7" max="7" width="12.625" style="7" bestFit="1" customWidth="1"/>
    <col min="8" max="8" width="4" customWidth="1"/>
    <col min="9" max="9" width="13.375" style="10" hidden="1" customWidth="1"/>
    <col min="10" max="10" width="12.25" style="10" hidden="1" customWidth="1"/>
    <col min="11" max="14" width="13.375" hidden="1" customWidth="1"/>
    <col min="15" max="16" width="12.75" hidden="1" customWidth="1"/>
    <col min="17" max="17" width="15.5" hidden="1" customWidth="1"/>
    <col min="18" max="18" width="15.375" style="8" hidden="1" customWidth="1"/>
    <col min="19" max="19" width="15.375" hidden="1" customWidth="1"/>
    <col min="20" max="21" width="16.375" hidden="1" customWidth="1"/>
    <col min="22" max="23" width="11.75" hidden="1" customWidth="1"/>
    <col min="24" max="24" width="0" hidden="1" customWidth="1"/>
    <col min="25" max="25" width="12.875" bestFit="1" customWidth="1"/>
    <col min="26" max="1016" width="8.5"/>
  </cols>
  <sheetData>
    <row r="1" spans="1:25" s="6" customFormat="1">
      <c r="A1" s="69"/>
      <c r="B1" s="69"/>
      <c r="C1" s="69"/>
      <c r="D1" s="69"/>
      <c r="E1" s="69"/>
      <c r="F1" s="69"/>
      <c r="G1" s="69"/>
      <c r="H1" s="74"/>
      <c r="I1" s="75"/>
      <c r="J1" s="75"/>
      <c r="K1" s="74"/>
      <c r="L1" s="74"/>
      <c r="M1" s="74"/>
      <c r="N1" s="74"/>
      <c r="O1" s="74"/>
      <c r="P1" s="74"/>
      <c r="Q1" s="74"/>
      <c r="R1" s="76"/>
      <c r="S1" s="74"/>
      <c r="T1" s="74"/>
      <c r="U1" s="74"/>
      <c r="V1" s="74"/>
      <c r="W1" s="74"/>
      <c r="X1" s="74"/>
      <c r="Y1" s="74"/>
    </row>
    <row r="2" spans="1:25" s="6" customFormat="1">
      <c r="A2" s="69"/>
      <c r="B2" s="69"/>
      <c r="C2" s="69"/>
      <c r="D2" s="69"/>
      <c r="E2" s="69"/>
      <c r="F2" s="69"/>
      <c r="G2" s="69"/>
      <c r="H2" s="74"/>
      <c r="I2" s="75"/>
      <c r="J2" s="75"/>
      <c r="K2" s="74"/>
      <c r="L2" s="74"/>
      <c r="M2" s="74"/>
      <c r="N2" s="74"/>
      <c r="O2" s="74"/>
      <c r="P2" s="74"/>
      <c r="Q2" s="74"/>
      <c r="R2" s="76"/>
      <c r="S2" s="74"/>
      <c r="T2" s="74"/>
      <c r="U2" s="74"/>
      <c r="V2" s="74"/>
      <c r="W2" s="74"/>
      <c r="X2" s="74"/>
      <c r="Y2" s="74"/>
    </row>
    <row r="3" spans="1:25" s="6" customFormat="1" ht="14.25" customHeight="1">
      <c r="A3" s="69"/>
      <c r="B3" s="69"/>
      <c r="C3" s="69"/>
      <c r="D3" s="70" t="s">
        <v>1</v>
      </c>
      <c r="E3" s="70"/>
      <c r="F3" s="70"/>
      <c r="G3" s="70"/>
      <c r="H3" s="74"/>
      <c r="I3" s="75"/>
      <c r="J3" s="75"/>
      <c r="K3" s="74"/>
      <c r="L3" s="74"/>
      <c r="M3" s="74"/>
      <c r="N3" s="74"/>
      <c r="O3" s="74"/>
      <c r="P3" s="74"/>
      <c r="Q3" s="74"/>
      <c r="R3" s="76"/>
      <c r="S3" s="74"/>
      <c r="T3" s="74"/>
      <c r="U3" s="74"/>
      <c r="V3" s="74"/>
      <c r="W3" s="74"/>
      <c r="X3" s="74"/>
      <c r="Y3" s="74"/>
    </row>
    <row r="4" spans="1:25" s="6" customFormat="1" ht="14.25" customHeight="1">
      <c r="A4" s="69"/>
      <c r="B4" s="69"/>
      <c r="C4" s="69"/>
      <c r="D4" s="71" t="s">
        <v>120</v>
      </c>
      <c r="E4" s="71"/>
      <c r="F4" s="71"/>
      <c r="G4" s="71"/>
      <c r="H4" s="74"/>
      <c r="I4" s="75"/>
      <c r="J4" s="75"/>
      <c r="K4" s="74"/>
      <c r="L4" s="74"/>
      <c r="M4" s="74"/>
      <c r="N4" s="74"/>
      <c r="O4" s="74"/>
      <c r="P4" s="74"/>
      <c r="Q4" s="74"/>
      <c r="R4" s="76"/>
      <c r="S4" s="74"/>
      <c r="T4" s="74"/>
      <c r="U4" s="74"/>
      <c r="V4" s="74"/>
      <c r="W4" s="74"/>
      <c r="X4" s="74"/>
      <c r="Y4" s="74"/>
    </row>
    <row r="5" spans="1:25">
      <c r="A5" s="72"/>
      <c r="B5" s="72"/>
      <c r="C5" s="72"/>
      <c r="D5" s="72"/>
      <c r="E5" s="72"/>
      <c r="F5" s="72"/>
      <c r="G5" s="72"/>
      <c r="H5" s="74"/>
      <c r="I5" s="75"/>
      <c r="J5" s="75"/>
      <c r="K5" s="74"/>
      <c r="L5" s="74"/>
      <c r="M5" s="74"/>
      <c r="N5" s="74"/>
      <c r="O5" s="74"/>
      <c r="P5" s="74"/>
      <c r="Q5" s="74"/>
      <c r="R5" s="76"/>
      <c r="S5" s="74"/>
      <c r="T5" s="74"/>
      <c r="U5" s="74"/>
      <c r="V5" s="74"/>
      <c r="W5" s="74"/>
      <c r="X5" s="74"/>
      <c r="Y5" s="74"/>
    </row>
    <row r="6" spans="1:25">
      <c r="A6" s="73"/>
      <c r="B6" s="73"/>
      <c r="C6" s="73"/>
      <c r="D6" s="73"/>
      <c r="E6" s="73"/>
      <c r="F6" s="73"/>
      <c r="G6" s="73"/>
      <c r="H6" s="74"/>
      <c r="I6" s="75"/>
      <c r="J6" s="75"/>
      <c r="K6" s="74"/>
      <c r="L6" s="74"/>
      <c r="M6" s="74"/>
      <c r="N6" s="74"/>
      <c r="O6" s="74"/>
      <c r="P6" s="74"/>
      <c r="Q6" s="74"/>
      <c r="R6" s="76"/>
      <c r="S6" s="74"/>
      <c r="T6" s="74"/>
      <c r="U6" s="74"/>
      <c r="V6" s="74"/>
      <c r="W6" s="74"/>
      <c r="X6" s="74"/>
      <c r="Y6" s="74"/>
    </row>
    <row r="7" spans="1:25" ht="15">
      <c r="A7" s="83" t="s">
        <v>58</v>
      </c>
      <c r="B7" s="84"/>
      <c r="C7" s="84"/>
      <c r="D7" s="84"/>
      <c r="E7" s="84"/>
      <c r="F7" s="84"/>
      <c r="G7" s="85"/>
    </row>
    <row r="8" spans="1:25" s="6" customFormat="1" ht="45" customHeight="1">
      <c r="A8" s="86" t="s">
        <v>115</v>
      </c>
      <c r="B8" s="87"/>
      <c r="C8" s="87"/>
      <c r="D8" s="87"/>
      <c r="E8" s="87"/>
      <c r="F8" s="87"/>
      <c r="G8" s="88"/>
      <c r="I8" s="10"/>
      <c r="J8" s="10"/>
      <c r="R8" s="8"/>
    </row>
    <row r="9" spans="1:25" s="6" customFormat="1" ht="15">
      <c r="A9" s="89" t="s">
        <v>65</v>
      </c>
      <c r="B9" s="90"/>
      <c r="C9" s="90"/>
      <c r="D9" s="90"/>
      <c r="E9" s="90"/>
      <c r="F9" s="90"/>
      <c r="G9" s="91"/>
      <c r="I9" s="10"/>
      <c r="J9" s="10"/>
      <c r="R9" s="8"/>
    </row>
    <row r="10" spans="1:25" ht="15" customHeight="1">
      <c r="A10" s="82" t="s">
        <v>2</v>
      </c>
      <c r="B10" s="82" t="s">
        <v>3</v>
      </c>
      <c r="C10" s="82" t="s">
        <v>4</v>
      </c>
      <c r="D10" s="82" t="s">
        <v>5</v>
      </c>
      <c r="E10" s="82" t="s">
        <v>6</v>
      </c>
      <c r="F10" s="82" t="s">
        <v>7</v>
      </c>
      <c r="G10" s="82"/>
      <c r="I10" s="81" t="s">
        <v>20</v>
      </c>
      <c r="J10" s="81" t="s">
        <v>21</v>
      </c>
      <c r="K10" s="80" t="s">
        <v>22</v>
      </c>
      <c r="L10" s="80" t="s">
        <v>23</v>
      </c>
      <c r="M10" s="80" t="s">
        <v>24</v>
      </c>
      <c r="N10" s="80" t="s">
        <v>25</v>
      </c>
      <c r="O10" s="80" t="s">
        <v>26</v>
      </c>
      <c r="P10" s="80" t="s">
        <v>27</v>
      </c>
      <c r="Q10" s="80" t="s">
        <v>9</v>
      </c>
    </row>
    <row r="11" spans="1:25">
      <c r="A11" s="82"/>
      <c r="B11" s="82"/>
      <c r="C11" s="82"/>
      <c r="D11" s="82"/>
      <c r="E11" s="82"/>
      <c r="F11" s="37" t="s">
        <v>8</v>
      </c>
      <c r="G11" s="38" t="s">
        <v>9</v>
      </c>
      <c r="I11" s="81"/>
      <c r="J11" s="81"/>
      <c r="K11" s="80"/>
      <c r="L11" s="80"/>
      <c r="M11" s="80"/>
      <c r="N11" s="80"/>
      <c r="O11" s="80"/>
      <c r="P11" s="80"/>
      <c r="Q11" s="80"/>
    </row>
    <row r="12" spans="1:25" ht="51">
      <c r="A12" s="36">
        <v>1</v>
      </c>
      <c r="B12" s="22" t="str">
        <f>'COMPOSIÇÕES IFAL'!A8</f>
        <v>IFAL 1.0</v>
      </c>
      <c r="C12" s="46" t="str">
        <f>'COMPOSIÇÕES IFAL'!B8</f>
        <v>ELABORAÇÃO DE LAUDO PERICIAL, COM A UTILIZAÇÃO DE ENSAIOS, PARA IDENTIFICAÇÃO E DESCRIÇÃO DAS MANIFESTAÇÕES PATOLÓGICAS PRESENTES NA OBRA DE CONSTRUÇÃO DO CAMPUS SANTANA DO IPANEMA DO IFAL.</v>
      </c>
      <c r="D12" s="24" t="s">
        <v>11</v>
      </c>
      <c r="E12" s="25">
        <v>1</v>
      </c>
      <c r="F12" s="26">
        <f>'COMPOSIÇÕES IFAL'!G24</f>
        <v>71475.25</v>
      </c>
      <c r="G12" s="27">
        <f>ROUND(F12*E12,2)</f>
        <v>71475.25</v>
      </c>
      <c r="I12" s="12">
        <f t="shared" ref="I12" si="0">G12</f>
        <v>71475.25</v>
      </c>
      <c r="J12" s="11"/>
      <c r="K12" s="9"/>
      <c r="L12" s="9"/>
      <c r="M12" s="9"/>
      <c r="N12" s="9"/>
      <c r="O12" s="9"/>
      <c r="P12" s="9"/>
      <c r="Q12" s="13">
        <f>SUM(I12:P12)-G12</f>
        <v>0</v>
      </c>
    </row>
    <row r="13" spans="1:25" s="6" customFormat="1" ht="51">
      <c r="A13" s="36">
        <v>2</v>
      </c>
      <c r="B13" s="28" t="str">
        <f>'COMPOSIÇÕES IFAL'!A26</f>
        <v>IFAL 2.0</v>
      </c>
      <c r="C13" s="47" t="str">
        <f>'COMPOSIÇÕES IFAL'!B26</f>
        <v>PROJETO EXECUTIVO DE RECUPERAÇÃO E/OU REFORÇO E/OU DEMOLIÇÃO, DOS SERVIÇOS EXECUTADOS, NECESSÁRIOS PARA À COMPLEMENTAÇÃO DA OBRA DE CONSTRUÇÃO DO CAMPUS SANTANA DO IPANEMA DO IFAL.</v>
      </c>
      <c r="D13" s="29" t="s">
        <v>11</v>
      </c>
      <c r="E13" s="25">
        <v>1</v>
      </c>
      <c r="F13" s="30">
        <f>'COMPOSIÇÕES IFAL'!G30</f>
        <v>11522</v>
      </c>
      <c r="G13" s="30">
        <f>ROUND(E13*F13,2)</f>
        <v>11522</v>
      </c>
      <c r="I13" s="11"/>
      <c r="J13" s="11"/>
      <c r="K13" s="9"/>
      <c r="L13" s="9"/>
      <c r="M13" s="9"/>
      <c r="N13" s="9"/>
      <c r="O13" s="9"/>
      <c r="P13" s="14"/>
      <c r="Q13" s="13"/>
      <c r="R13" s="8"/>
    </row>
    <row r="14" spans="1:25">
      <c r="A14" s="95" t="s">
        <v>56</v>
      </c>
      <c r="B14" s="96"/>
      <c r="C14" s="96"/>
      <c r="D14" s="96"/>
      <c r="E14" s="97"/>
      <c r="F14" s="98">
        <f>G12+G13</f>
        <v>82997.25</v>
      </c>
      <c r="G14" s="99"/>
      <c r="H14" s="6"/>
      <c r="I14" s="12"/>
      <c r="J14" s="12"/>
      <c r="K14" s="12"/>
      <c r="L14" s="12"/>
      <c r="M14" s="12"/>
      <c r="N14" s="12"/>
      <c r="O14" s="12"/>
      <c r="P14" s="12"/>
      <c r="Q14" s="13"/>
    </row>
    <row r="15" spans="1:25">
      <c r="A15" s="95" t="s">
        <v>57</v>
      </c>
      <c r="B15" s="96"/>
      <c r="C15" s="96"/>
      <c r="D15" s="96"/>
      <c r="E15" s="97"/>
      <c r="F15" s="100">
        <f>ROUND(F14*0.3137,2)</f>
        <v>26036.240000000002</v>
      </c>
      <c r="G15" s="101"/>
      <c r="H15" s="6"/>
      <c r="I15" s="12">
        <f t="shared" ref="I15:P15" si="1">I14*0.2582</f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2">
        <f t="shared" si="1"/>
        <v>0</v>
      </c>
      <c r="Q15" s="13">
        <f>SUM(I15:P15)</f>
        <v>0</v>
      </c>
    </row>
    <row r="16" spans="1:25" ht="15">
      <c r="A16" s="92" t="s">
        <v>0</v>
      </c>
      <c r="B16" s="93"/>
      <c r="C16" s="93"/>
      <c r="D16" s="93"/>
      <c r="E16" s="94"/>
      <c r="F16" s="102">
        <f>F14+F15</f>
        <v>109033.49</v>
      </c>
      <c r="G16" s="103"/>
      <c r="H16" s="6"/>
      <c r="I16" s="12">
        <f t="shared" ref="I16:P16" si="2">SUM(I14:I15)</f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13">
        <f>SUM(I16:P16)</f>
        <v>0</v>
      </c>
      <c r="R16" s="19"/>
    </row>
    <row r="18" spans="7:25" ht="15">
      <c r="G18" s="18"/>
    </row>
    <row r="19" spans="7:25" ht="15">
      <c r="Y19" s="18"/>
    </row>
    <row r="20" spans="7:25" ht="15">
      <c r="Y20" s="18"/>
    </row>
    <row r="21" spans="7:25">
      <c r="I21" s="15"/>
      <c r="O21" s="16"/>
      <c r="P21" s="16"/>
      <c r="Q21" s="7"/>
      <c r="Y21" s="65"/>
    </row>
    <row r="22" spans="7:25">
      <c r="I22" s="17"/>
      <c r="J22" s="17"/>
      <c r="K22" s="17"/>
      <c r="L22" s="17"/>
      <c r="M22" s="17"/>
      <c r="N22" s="17"/>
      <c r="O22" s="17"/>
      <c r="P22" s="17"/>
      <c r="Q22" s="17"/>
    </row>
    <row r="23" spans="7:25" ht="15">
      <c r="I23" s="18"/>
      <c r="J23" s="18"/>
      <c r="K23" s="18"/>
      <c r="L23" s="18"/>
      <c r="M23" s="18"/>
      <c r="N23" s="18"/>
      <c r="O23" s="18"/>
      <c r="P23" s="18"/>
      <c r="Q23" s="7"/>
    </row>
    <row r="24" spans="7:25">
      <c r="Q24" s="7"/>
    </row>
    <row r="25" spans="7:25">
      <c r="I25" s="15"/>
    </row>
  </sheetData>
  <mergeCells count="24">
    <mergeCell ref="F10:G10"/>
    <mergeCell ref="A7:G7"/>
    <mergeCell ref="A8:G8"/>
    <mergeCell ref="A9:G9"/>
    <mergeCell ref="A16:E16"/>
    <mergeCell ref="A14:E14"/>
    <mergeCell ref="A15:E15"/>
    <mergeCell ref="F14:G14"/>
    <mergeCell ref="F15:G15"/>
    <mergeCell ref="F16:G16"/>
    <mergeCell ref="A10:A11"/>
    <mergeCell ref="B10:B11"/>
    <mergeCell ref="C10:C11"/>
    <mergeCell ref="D10:D11"/>
    <mergeCell ref="E10:E11"/>
    <mergeCell ref="P10:P11"/>
    <mergeCell ref="Q10:Q11"/>
    <mergeCell ref="I10:I11"/>
    <mergeCell ref="J10:J11"/>
    <mergeCell ref="K10:K11"/>
    <mergeCell ref="L10:L11"/>
    <mergeCell ref="M10:M11"/>
    <mergeCell ref="N10:N11"/>
    <mergeCell ref="O10:O11"/>
  </mergeCells>
  <printOptions horizontalCentered="1" verticalCentered="1"/>
  <pageMargins left="0.98402777777777795" right="0.39374999999999999" top="0.98402777777777795" bottom="0.59027777777777801" header="0.51180555555555496" footer="0.51180555555555496"/>
  <pageSetup paperSize="9" scale="81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23" zoomScaleNormal="100" workbookViewId="0">
      <selection activeCell="R40" sqref="R40"/>
    </sheetView>
  </sheetViews>
  <sheetFormatPr defaultRowHeight="14.25"/>
  <cols>
    <col min="1" max="1" width="6.75"/>
    <col min="2" max="2" width="10.25"/>
    <col min="3" max="3" width="46.75"/>
    <col min="4" max="4" width="7.875" style="3"/>
    <col min="5" max="5" width="9.375" style="4"/>
    <col min="6" max="6" width="10.625" style="3" bestFit="1" customWidth="1"/>
    <col min="7" max="7" width="13.25" style="3" customWidth="1"/>
    <col min="8" max="8" width="8.875" bestFit="1" customWidth="1"/>
    <col min="9" max="9" width="12.75" bestFit="1" customWidth="1"/>
    <col min="10" max="10" width="8.5"/>
    <col min="11" max="11" width="9.875" bestFit="1" customWidth="1"/>
    <col min="12" max="1012" width="8.5"/>
  </cols>
  <sheetData>
    <row r="1" spans="1:12">
      <c r="C1" s="1"/>
      <c r="D1" s="1"/>
      <c r="E1" s="5"/>
      <c r="F1"/>
      <c r="G1"/>
    </row>
    <row r="2" spans="1:12">
      <c r="C2" s="1"/>
      <c r="D2" s="1"/>
      <c r="E2" s="5"/>
      <c r="F2"/>
      <c r="G2"/>
    </row>
    <row r="3" spans="1:12" ht="16.5">
      <c r="C3" s="1"/>
      <c r="D3" s="1"/>
      <c r="E3" s="5"/>
      <c r="F3" s="110" t="s">
        <v>1</v>
      </c>
      <c r="G3" s="110"/>
    </row>
    <row r="4" spans="1:12" ht="15">
      <c r="C4" s="1"/>
      <c r="D4" s="1"/>
      <c r="E4" s="5"/>
      <c r="F4" s="111" t="s">
        <v>120</v>
      </c>
      <c r="G4" s="111"/>
    </row>
    <row r="5" spans="1:12">
      <c r="A5" s="2"/>
      <c r="B5" s="2"/>
      <c r="C5" s="1"/>
      <c r="D5" s="1"/>
      <c r="E5" s="5"/>
      <c r="F5"/>
      <c r="G5"/>
    </row>
    <row r="6" spans="1:12">
      <c r="A6" s="2"/>
      <c r="B6" s="2"/>
      <c r="C6" s="1"/>
      <c r="D6" s="1"/>
      <c r="E6" s="5"/>
      <c r="F6"/>
      <c r="G6"/>
    </row>
    <row r="7" spans="1:12" s="6" customFormat="1" ht="19.7" customHeight="1">
      <c r="A7" s="117" t="s">
        <v>12</v>
      </c>
      <c r="B7" s="117"/>
      <c r="C7" s="117"/>
      <c r="D7" s="117"/>
      <c r="E7" s="117"/>
      <c r="F7" s="117"/>
      <c r="G7" s="117"/>
      <c r="H7" s="1"/>
    </row>
    <row r="8" spans="1:12" s="33" customFormat="1" ht="30" customHeight="1">
      <c r="A8" s="34" t="s">
        <v>29</v>
      </c>
      <c r="B8" s="112" t="s">
        <v>122</v>
      </c>
      <c r="C8" s="113"/>
      <c r="D8" s="113"/>
      <c r="E8" s="113"/>
      <c r="F8" s="113"/>
      <c r="G8" s="114"/>
      <c r="H8" s="1"/>
    </row>
    <row r="9" spans="1:12" ht="15" customHeight="1">
      <c r="A9" s="77"/>
      <c r="B9" s="20" t="s">
        <v>3</v>
      </c>
      <c r="C9" s="20" t="s">
        <v>33</v>
      </c>
      <c r="D9" s="20" t="s">
        <v>13</v>
      </c>
      <c r="E9" s="21" t="s">
        <v>14</v>
      </c>
      <c r="F9" s="20" t="s">
        <v>7</v>
      </c>
      <c r="G9" s="20" t="s">
        <v>9</v>
      </c>
      <c r="H9" s="1"/>
    </row>
    <row r="10" spans="1:12">
      <c r="A10" s="77"/>
      <c r="B10" s="22" t="s">
        <v>17</v>
      </c>
      <c r="C10" s="23" t="s">
        <v>19</v>
      </c>
      <c r="D10" s="24" t="s">
        <v>10</v>
      </c>
      <c r="E10" s="25">
        <f>((5.5*2+2.5*2+61.7*2+66.3*2+11.5*2+23.25*2+24.45*2+23.8*2+41.2*2+24.2*2)*2)+(2*2*E23)</f>
        <v>1141.5999999999999</v>
      </c>
      <c r="F10" s="44">
        <v>1.03</v>
      </c>
      <c r="G10" s="27">
        <f>ROUND(F10*E10,2)</f>
        <v>1175.8499999999999</v>
      </c>
      <c r="H10" s="1"/>
      <c r="I10" s="6"/>
      <c r="J10" s="6"/>
      <c r="K10" s="6"/>
      <c r="L10" s="6"/>
    </row>
    <row r="11" spans="1:12" s="6" customFormat="1" ht="25.5">
      <c r="A11" s="77"/>
      <c r="B11" s="28" t="s">
        <v>59</v>
      </c>
      <c r="C11" s="23" t="s">
        <v>60</v>
      </c>
      <c r="D11" s="24" t="s">
        <v>11</v>
      </c>
      <c r="E11" s="25">
        <v>1</v>
      </c>
      <c r="F11" s="30">
        <v>11723.75</v>
      </c>
      <c r="G11" s="27">
        <f t="shared" ref="G11:G23" si="0">ROUND(F11*E11,2)</f>
        <v>11723.75</v>
      </c>
      <c r="H11" s="1"/>
      <c r="I11" s="64"/>
    </row>
    <row r="12" spans="1:12" s="6" customFormat="1" ht="25.5">
      <c r="A12" s="77"/>
      <c r="B12" s="28" t="s">
        <v>59</v>
      </c>
      <c r="C12" s="45" t="s">
        <v>83</v>
      </c>
      <c r="D12" s="24" t="s">
        <v>84</v>
      </c>
      <c r="E12" s="32">
        <f>212*2*3</f>
        <v>1272</v>
      </c>
      <c r="F12" s="40">
        <v>3.8</v>
      </c>
      <c r="G12" s="27">
        <f t="shared" ref="G12" si="1">ROUND(F12*E12,2)</f>
        <v>4833.6000000000004</v>
      </c>
      <c r="H12" s="1"/>
    </row>
    <row r="13" spans="1:12" s="6" customFormat="1" ht="25.5">
      <c r="A13" s="77"/>
      <c r="B13" s="22">
        <v>88255</v>
      </c>
      <c r="C13" s="31" t="s">
        <v>18</v>
      </c>
      <c r="D13" s="24" t="s">
        <v>15</v>
      </c>
      <c r="E13" s="32">
        <v>80</v>
      </c>
      <c r="F13" s="26">
        <v>20.59</v>
      </c>
      <c r="G13" s="27">
        <f t="shared" si="0"/>
        <v>1647.2</v>
      </c>
      <c r="H13" s="1"/>
    </row>
    <row r="14" spans="1:12" s="6" customFormat="1" ht="25.5">
      <c r="A14" s="77"/>
      <c r="B14" s="22" t="str">
        <f>A32</f>
        <v>IFAL 1.1</v>
      </c>
      <c r="C14" s="23" t="str">
        <f>B32</f>
        <v>INSPEÇÃO DE FUNDAÇÃO (ESCAVAÇÃO MANUAL DE VALA E RECOMPOSIÇÃO)</v>
      </c>
      <c r="D14" s="24" t="s">
        <v>37</v>
      </c>
      <c r="E14" s="32">
        <v>22</v>
      </c>
      <c r="F14" s="26">
        <f>G36</f>
        <v>135.44</v>
      </c>
      <c r="G14" s="27">
        <f t="shared" si="0"/>
        <v>2979.68</v>
      </c>
      <c r="H14" s="63"/>
    </row>
    <row r="15" spans="1:12" s="6" customFormat="1" ht="25.5">
      <c r="A15" s="77"/>
      <c r="B15" s="22" t="str">
        <f>A37</f>
        <v>IFAL 1.2</v>
      </c>
      <c r="C15" s="23" t="s">
        <v>38</v>
      </c>
      <c r="D15" s="24" t="s">
        <v>11</v>
      </c>
      <c r="E15" s="41">
        <f>'Memorial de cálculo'!F16</f>
        <v>66</v>
      </c>
      <c r="F15" s="44">
        <f>G40</f>
        <v>120</v>
      </c>
      <c r="G15" s="27">
        <f t="shared" si="0"/>
        <v>7920</v>
      </c>
      <c r="H15" s="63"/>
    </row>
    <row r="16" spans="1:12" s="6" customFormat="1" ht="25.5">
      <c r="A16" s="77"/>
      <c r="B16" s="22" t="str">
        <f>A41</f>
        <v>IFAL 1.3</v>
      </c>
      <c r="C16" s="23" t="str">
        <f>B41</f>
        <v>RECOMPOSIÇÃO DE FURO, APÓS EXTRAÇÃO DE TESTEMUNHO DE ELEMENTO DE CONCRETO ARMADO, COM GRAUTE</v>
      </c>
      <c r="D16" s="24" t="s">
        <v>11</v>
      </c>
      <c r="E16" s="41">
        <f>E15</f>
        <v>66</v>
      </c>
      <c r="F16" s="67">
        <f>G46</f>
        <v>28.22</v>
      </c>
      <c r="G16" s="27">
        <f t="shared" si="0"/>
        <v>1862.52</v>
      </c>
      <c r="H16" s="63"/>
    </row>
    <row r="17" spans="1:13" s="6" customFormat="1" ht="25.5">
      <c r="A17" s="77"/>
      <c r="B17" s="28" t="s">
        <v>36</v>
      </c>
      <c r="C17" s="23" t="s">
        <v>35</v>
      </c>
      <c r="D17" s="24" t="s">
        <v>10</v>
      </c>
      <c r="E17" s="41">
        <f>0.2*0.2*15</f>
        <v>0.60000000000000009</v>
      </c>
      <c r="F17" s="68">
        <v>192.6</v>
      </c>
      <c r="G17" s="27">
        <f t="shared" si="0"/>
        <v>115.56</v>
      </c>
      <c r="H17" s="63"/>
    </row>
    <row r="18" spans="1:13" s="6" customFormat="1" ht="25.5">
      <c r="A18" s="77"/>
      <c r="B18" s="22" t="str">
        <f>A47</f>
        <v>IFAL 1.4</v>
      </c>
      <c r="C18" s="23" t="str">
        <f>B47</f>
        <v xml:space="preserve">RECOMPOSIÇÃO DE ELEMENTO DE CONCRETO ARMADO COM GRAUTE, APÓS ESCARIFICAÇÃO </v>
      </c>
      <c r="D18" s="24" t="s">
        <v>10</v>
      </c>
      <c r="E18" s="41">
        <f>E17</f>
        <v>0.60000000000000009</v>
      </c>
      <c r="F18" s="67">
        <f>G52</f>
        <v>462.82</v>
      </c>
      <c r="G18" s="27">
        <f t="shared" si="0"/>
        <v>277.69</v>
      </c>
      <c r="H18" s="63"/>
    </row>
    <row r="19" spans="1:13" s="6" customFormat="1" ht="25.5">
      <c r="A19" s="77"/>
      <c r="B19" s="57">
        <v>97631</v>
      </c>
      <c r="C19" s="45" t="s">
        <v>97</v>
      </c>
      <c r="D19" s="58" t="s">
        <v>10</v>
      </c>
      <c r="E19" s="59">
        <f>'Memorial de cálculo'!D47</f>
        <v>4.7700000000000005</v>
      </c>
      <c r="F19" s="44">
        <v>1.97</v>
      </c>
      <c r="G19" s="60">
        <f t="shared" ref="G19" si="2">ROUND(F19*E19,2)</f>
        <v>9.4</v>
      </c>
      <c r="H19" s="63"/>
    </row>
    <row r="20" spans="1:13" s="6" customFormat="1">
      <c r="A20" s="77"/>
      <c r="B20" s="22" t="str">
        <f>A53</f>
        <v>IFAL 1.5</v>
      </c>
      <c r="C20" s="23" t="s">
        <v>30</v>
      </c>
      <c r="D20" s="24" t="s">
        <v>11</v>
      </c>
      <c r="E20" s="41">
        <f>'Memorial de cálculo'!F28</f>
        <v>66</v>
      </c>
      <c r="F20" s="44">
        <f>G56</f>
        <v>110</v>
      </c>
      <c r="G20" s="27">
        <f t="shared" si="0"/>
        <v>7260</v>
      </c>
      <c r="H20" s="63"/>
    </row>
    <row r="21" spans="1:13" s="6" customFormat="1">
      <c r="A21" s="77"/>
      <c r="B21" s="22" t="str">
        <f>A57</f>
        <v>IFAL 1.6</v>
      </c>
      <c r="C21" s="23" t="s">
        <v>31</v>
      </c>
      <c r="D21" s="24" t="s">
        <v>11</v>
      </c>
      <c r="E21" s="59">
        <f>'Memorial de cálculo'!F40</f>
        <v>177</v>
      </c>
      <c r="F21" s="67">
        <f>G60</f>
        <v>60</v>
      </c>
      <c r="G21" s="27">
        <f t="shared" si="0"/>
        <v>10620</v>
      </c>
      <c r="H21" s="63"/>
    </row>
    <row r="22" spans="1:13" s="6" customFormat="1">
      <c r="A22" s="77"/>
      <c r="B22" s="22" t="str">
        <f>A61</f>
        <v>IFAL 1.7</v>
      </c>
      <c r="C22" s="23" t="s">
        <v>32</v>
      </c>
      <c r="D22" s="24" t="s">
        <v>11</v>
      </c>
      <c r="E22" s="41">
        <v>15</v>
      </c>
      <c r="F22" s="67">
        <f>G64</f>
        <v>70</v>
      </c>
      <c r="G22" s="27">
        <f t="shared" si="0"/>
        <v>1050</v>
      </c>
      <c r="H22" s="66">
        <f>G10+G14+G15+G16+G17+G18+G19+G20+G21+G22+G23</f>
        <v>53270.7</v>
      </c>
      <c r="I22" s="66"/>
      <c r="J22" s="66"/>
    </row>
    <row r="23" spans="1:13" s="6" customFormat="1">
      <c r="A23" s="77"/>
      <c r="B23" s="28" t="str">
        <f>A65</f>
        <v>IFAL 1.8</v>
      </c>
      <c r="C23" s="23" t="str">
        <f>B65</f>
        <v>SERVIÇO DE SONDAGEM DE SOLO  (20 FUROS)</v>
      </c>
      <c r="D23" s="24" t="s">
        <v>11</v>
      </c>
      <c r="E23" s="59">
        <v>1</v>
      </c>
      <c r="F23" s="67">
        <f>G68</f>
        <v>20000</v>
      </c>
      <c r="G23" s="27">
        <f t="shared" si="0"/>
        <v>20000</v>
      </c>
      <c r="H23" s="63"/>
      <c r="I23" s="7"/>
    </row>
    <row r="24" spans="1:13" s="6" customFormat="1">
      <c r="A24" s="77"/>
      <c r="B24" s="107" t="s">
        <v>16</v>
      </c>
      <c r="C24" s="107"/>
      <c r="D24" s="107"/>
      <c r="E24" s="107"/>
      <c r="F24" s="107"/>
      <c r="G24" s="39">
        <f>SUM(G10:G23)</f>
        <v>71475.25</v>
      </c>
      <c r="H24" s="63"/>
      <c r="L24" s="7"/>
    </row>
    <row r="25" spans="1:13" s="6" customFormat="1" ht="54.75" customHeight="1">
      <c r="A25" s="43" t="s">
        <v>28</v>
      </c>
      <c r="B25" s="115" t="s">
        <v>119</v>
      </c>
      <c r="C25" s="115"/>
      <c r="D25" s="115"/>
      <c r="E25" s="115"/>
      <c r="F25" s="115"/>
      <c r="G25" s="116"/>
      <c r="H25" s="63"/>
      <c r="J25" s="19"/>
    </row>
    <row r="26" spans="1:13" s="6" customFormat="1" ht="30" customHeight="1">
      <c r="A26" s="35" t="s">
        <v>34</v>
      </c>
      <c r="B26" s="104" t="s">
        <v>114</v>
      </c>
      <c r="C26" s="105"/>
      <c r="D26" s="105"/>
      <c r="E26" s="105"/>
      <c r="F26" s="105"/>
      <c r="G26" s="106"/>
      <c r="H26" s="63"/>
    </row>
    <row r="27" spans="1:13" ht="16.149999999999999" customHeight="1">
      <c r="A27" s="77"/>
      <c r="B27" s="20" t="s">
        <v>3</v>
      </c>
      <c r="C27" s="20" t="s">
        <v>33</v>
      </c>
      <c r="D27" s="20" t="s">
        <v>13</v>
      </c>
      <c r="E27" s="21" t="s">
        <v>14</v>
      </c>
      <c r="F27" s="20" t="s">
        <v>7</v>
      </c>
      <c r="G27" s="20" t="s">
        <v>9</v>
      </c>
      <c r="H27" s="63"/>
      <c r="I27" s="6"/>
      <c r="J27" s="6"/>
      <c r="K27" s="6"/>
      <c r="L27" s="6"/>
      <c r="M27" s="6"/>
    </row>
    <row r="28" spans="1:13" s="6" customFormat="1" ht="25.5">
      <c r="A28" s="77"/>
      <c r="B28" s="28">
        <v>90779</v>
      </c>
      <c r="C28" s="23" t="s">
        <v>64</v>
      </c>
      <c r="D28" s="29" t="s">
        <v>15</v>
      </c>
      <c r="E28" s="25">
        <f>16*5</f>
        <v>80</v>
      </c>
      <c r="F28" s="30">
        <v>113.14</v>
      </c>
      <c r="G28" s="30">
        <f>ROUND(E28*F28,2)</f>
        <v>9051.2000000000007</v>
      </c>
      <c r="H28" s="63"/>
    </row>
    <row r="29" spans="1:13" s="6" customFormat="1" ht="25.5">
      <c r="A29" s="77"/>
      <c r="B29" s="22">
        <v>88255</v>
      </c>
      <c r="C29" s="31" t="s">
        <v>18</v>
      </c>
      <c r="D29" s="24" t="s">
        <v>15</v>
      </c>
      <c r="E29" s="32">
        <f>E28*1.5</f>
        <v>120</v>
      </c>
      <c r="F29" s="26">
        <v>20.59</v>
      </c>
      <c r="G29" s="30">
        <f>ROUND(E29*F29,2)</f>
        <v>2470.8000000000002</v>
      </c>
      <c r="H29" s="63"/>
    </row>
    <row r="30" spans="1:13">
      <c r="A30" s="77"/>
      <c r="B30" s="107" t="s">
        <v>16</v>
      </c>
      <c r="C30" s="107"/>
      <c r="D30" s="107"/>
      <c r="E30" s="107"/>
      <c r="F30" s="107"/>
      <c r="G30" s="39">
        <f>SUM(G28:G29)</f>
        <v>11522</v>
      </c>
      <c r="H30" s="63"/>
    </row>
    <row r="31" spans="1:13" s="6" customFormat="1" ht="30" customHeight="1">
      <c r="A31" s="43" t="s">
        <v>28</v>
      </c>
      <c r="B31" s="108" t="s">
        <v>63</v>
      </c>
      <c r="C31" s="108"/>
      <c r="D31" s="108"/>
      <c r="E31" s="108"/>
      <c r="F31" s="108"/>
      <c r="G31" s="109"/>
      <c r="H31" s="63"/>
      <c r="J31" s="8"/>
    </row>
    <row r="32" spans="1:13" ht="15">
      <c r="A32" s="35" t="s">
        <v>39</v>
      </c>
      <c r="B32" s="104" t="s">
        <v>42</v>
      </c>
      <c r="C32" s="105"/>
      <c r="D32" s="105"/>
      <c r="E32" s="105"/>
      <c r="F32" s="105"/>
      <c r="G32" s="106"/>
      <c r="H32" s="63"/>
      <c r="I32" s="6"/>
    </row>
    <row r="33" spans="1:9">
      <c r="A33" s="77"/>
      <c r="B33" s="20" t="s">
        <v>3</v>
      </c>
      <c r="C33" s="20" t="s">
        <v>33</v>
      </c>
      <c r="D33" s="20" t="s">
        <v>13</v>
      </c>
      <c r="E33" s="21" t="s">
        <v>14</v>
      </c>
      <c r="F33" s="20" t="s">
        <v>7</v>
      </c>
      <c r="G33" s="20" t="s">
        <v>9</v>
      </c>
      <c r="H33" s="63"/>
      <c r="I33" s="6"/>
    </row>
    <row r="34" spans="1:9" ht="25.5">
      <c r="A34" s="77"/>
      <c r="B34" s="28">
        <v>96523</v>
      </c>
      <c r="C34" s="23" t="s">
        <v>61</v>
      </c>
      <c r="D34" s="29" t="s">
        <v>37</v>
      </c>
      <c r="E34" s="25">
        <f>(((1.5+0.5)/2)*1*1.5)</f>
        <v>1.5</v>
      </c>
      <c r="F34" s="30">
        <v>59.23</v>
      </c>
      <c r="G34" s="30">
        <f>ROUND(E34*F34,2)</f>
        <v>88.85</v>
      </c>
      <c r="H34" s="63"/>
      <c r="I34" s="6"/>
    </row>
    <row r="35" spans="1:9">
      <c r="A35" s="77"/>
      <c r="B35" s="28">
        <v>96995</v>
      </c>
      <c r="C35" s="23" t="s">
        <v>62</v>
      </c>
      <c r="D35" s="29" t="s">
        <v>37</v>
      </c>
      <c r="E35" s="25">
        <f>(((1.5+0.5)/2)*1*1.5)</f>
        <v>1.5</v>
      </c>
      <c r="F35" s="30">
        <v>31.06</v>
      </c>
      <c r="G35" s="30">
        <f>ROUND(E35*F35,2)</f>
        <v>46.59</v>
      </c>
      <c r="H35" s="63"/>
    </row>
    <row r="36" spans="1:9">
      <c r="A36" s="77"/>
      <c r="B36" s="107" t="s">
        <v>41</v>
      </c>
      <c r="C36" s="107"/>
      <c r="D36" s="107"/>
      <c r="E36" s="107"/>
      <c r="F36" s="107"/>
      <c r="G36" s="39">
        <f>SUM(G34:G35)</f>
        <v>135.44</v>
      </c>
    </row>
    <row r="37" spans="1:9" s="6" customFormat="1" ht="15">
      <c r="A37" s="35" t="s">
        <v>40</v>
      </c>
      <c r="B37" s="104" t="s">
        <v>38</v>
      </c>
      <c r="C37" s="105"/>
      <c r="D37" s="105"/>
      <c r="E37" s="105"/>
      <c r="F37" s="105"/>
      <c r="G37" s="106"/>
    </row>
    <row r="38" spans="1:9" s="6" customFormat="1" ht="16.149999999999999" customHeight="1">
      <c r="A38" s="77"/>
      <c r="B38" s="20" t="s">
        <v>3</v>
      </c>
      <c r="C38" s="20" t="s">
        <v>33</v>
      </c>
      <c r="D38" s="20" t="s">
        <v>13</v>
      </c>
      <c r="E38" s="21" t="s">
        <v>14</v>
      </c>
      <c r="F38" s="20" t="s">
        <v>7</v>
      </c>
      <c r="G38" s="20" t="s">
        <v>9</v>
      </c>
    </row>
    <row r="39" spans="1:9" s="6" customFormat="1" ht="25.5">
      <c r="A39" s="77"/>
      <c r="B39" s="28" t="s">
        <v>53</v>
      </c>
      <c r="C39" s="23" t="s">
        <v>116</v>
      </c>
      <c r="D39" s="29" t="s">
        <v>11</v>
      </c>
      <c r="E39" s="25">
        <v>1</v>
      </c>
      <c r="F39" s="68">
        <v>120</v>
      </c>
      <c r="G39" s="30">
        <f>ROUND(E39*F39,2)</f>
        <v>120</v>
      </c>
    </row>
    <row r="40" spans="1:9" s="6" customFormat="1">
      <c r="A40" s="77"/>
      <c r="B40" s="107" t="s">
        <v>16</v>
      </c>
      <c r="C40" s="107"/>
      <c r="D40" s="107"/>
      <c r="E40" s="107"/>
      <c r="F40" s="107"/>
      <c r="G40" s="39">
        <f>SUM(G39:G39)</f>
        <v>120</v>
      </c>
    </row>
    <row r="41" spans="1:9" s="6" customFormat="1" ht="15">
      <c r="A41" s="35" t="s">
        <v>43</v>
      </c>
      <c r="B41" s="104" t="s">
        <v>49</v>
      </c>
      <c r="C41" s="105"/>
      <c r="D41" s="105"/>
      <c r="E41" s="105"/>
      <c r="F41" s="105"/>
      <c r="G41" s="106"/>
    </row>
    <row r="42" spans="1:9" s="6" customFormat="1" ht="16.149999999999999" customHeight="1">
      <c r="A42" s="77"/>
      <c r="B42" s="20" t="s">
        <v>3</v>
      </c>
      <c r="C42" s="20" t="s">
        <v>33</v>
      </c>
      <c r="D42" s="20" t="s">
        <v>13</v>
      </c>
      <c r="E42" s="21" t="s">
        <v>14</v>
      </c>
      <c r="F42" s="20" t="s">
        <v>7</v>
      </c>
      <c r="G42" s="20" t="s">
        <v>9</v>
      </c>
    </row>
    <row r="43" spans="1:9" s="6" customFormat="1" ht="25.5">
      <c r="A43" s="77"/>
      <c r="B43" s="28" t="s">
        <v>48</v>
      </c>
      <c r="C43" s="23" t="s">
        <v>35</v>
      </c>
      <c r="D43" s="29" t="s">
        <v>10</v>
      </c>
      <c r="E43" s="42">
        <f>2*3.14*0.05*0.2</f>
        <v>6.2800000000000009E-2</v>
      </c>
      <c r="F43" s="30">
        <v>192.6</v>
      </c>
      <c r="G43" s="30">
        <f>ROUND(E43*F43,2)</f>
        <v>12.1</v>
      </c>
    </row>
    <row r="44" spans="1:9" s="6" customFormat="1" ht="25.5">
      <c r="A44" s="77"/>
      <c r="B44" s="28">
        <v>83736</v>
      </c>
      <c r="C44" s="23" t="s">
        <v>45</v>
      </c>
      <c r="D44" s="29" t="s">
        <v>10</v>
      </c>
      <c r="E44" s="42">
        <f>2*3.14*0.05*0.2</f>
        <v>6.2800000000000009E-2</v>
      </c>
      <c r="F44" s="30">
        <v>180.78</v>
      </c>
      <c r="G44" s="30">
        <f t="shared" ref="G44:G45" si="3">ROUND(E44*F44,2)</f>
        <v>11.35</v>
      </c>
    </row>
    <row r="45" spans="1:9" s="6" customFormat="1">
      <c r="A45" s="77"/>
      <c r="B45" s="28" t="s">
        <v>46</v>
      </c>
      <c r="C45" s="23" t="s">
        <v>44</v>
      </c>
      <c r="D45" s="29" t="s">
        <v>37</v>
      </c>
      <c r="E45" s="42">
        <f>ROUND(3.14*((0.05)^2)*0.2,4)</f>
        <v>1.6000000000000001E-3</v>
      </c>
      <c r="F45" s="30">
        <v>2981.25</v>
      </c>
      <c r="G45" s="30">
        <f t="shared" si="3"/>
        <v>4.7699999999999996</v>
      </c>
    </row>
    <row r="46" spans="1:9" s="6" customFormat="1">
      <c r="A46" s="77"/>
      <c r="B46" s="107" t="s">
        <v>16</v>
      </c>
      <c r="C46" s="107"/>
      <c r="D46" s="107"/>
      <c r="E46" s="107"/>
      <c r="F46" s="107"/>
      <c r="G46" s="39">
        <f>SUM(G43:G45)</f>
        <v>28.22</v>
      </c>
    </row>
    <row r="47" spans="1:9" s="6" customFormat="1" ht="15">
      <c r="A47" s="35" t="s">
        <v>47</v>
      </c>
      <c r="B47" s="104" t="s">
        <v>50</v>
      </c>
      <c r="C47" s="105"/>
      <c r="D47" s="105"/>
      <c r="E47" s="105"/>
      <c r="F47" s="105"/>
      <c r="G47" s="106"/>
    </row>
    <row r="48" spans="1:9" s="6" customFormat="1" ht="16.149999999999999" customHeight="1">
      <c r="A48" s="77"/>
      <c r="B48" s="20" t="s">
        <v>3</v>
      </c>
      <c r="C48" s="20" t="s">
        <v>33</v>
      </c>
      <c r="D48" s="20" t="s">
        <v>13</v>
      </c>
      <c r="E48" s="21" t="s">
        <v>14</v>
      </c>
      <c r="F48" s="20" t="s">
        <v>7</v>
      </c>
      <c r="G48" s="20" t="s">
        <v>9</v>
      </c>
    </row>
    <row r="49" spans="1:7" s="6" customFormat="1" ht="25.5">
      <c r="A49" s="77"/>
      <c r="B49" s="28" t="s">
        <v>48</v>
      </c>
      <c r="C49" s="23" t="s">
        <v>35</v>
      </c>
      <c r="D49" s="29" t="s">
        <v>10</v>
      </c>
      <c r="E49" s="25">
        <v>1</v>
      </c>
      <c r="F49" s="30">
        <v>192.6</v>
      </c>
      <c r="G49" s="30">
        <f>ROUND(E49*F49,2)</f>
        <v>192.6</v>
      </c>
    </row>
    <row r="50" spans="1:7" s="6" customFormat="1" ht="25.5">
      <c r="A50" s="77"/>
      <c r="B50" s="28">
        <v>83736</v>
      </c>
      <c r="C50" s="23" t="s">
        <v>45</v>
      </c>
      <c r="D50" s="29" t="s">
        <v>10</v>
      </c>
      <c r="E50" s="25">
        <v>1</v>
      </c>
      <c r="F50" s="30">
        <v>180.78</v>
      </c>
      <c r="G50" s="30">
        <f t="shared" ref="G50:G51" si="4">ROUND(E50*F50,2)</f>
        <v>180.78</v>
      </c>
    </row>
    <row r="51" spans="1:7" s="6" customFormat="1">
      <c r="A51" s="77"/>
      <c r="B51" s="28" t="s">
        <v>46</v>
      </c>
      <c r="C51" s="23" t="s">
        <v>44</v>
      </c>
      <c r="D51" s="29" t="s">
        <v>37</v>
      </c>
      <c r="E51" s="25">
        <v>0.03</v>
      </c>
      <c r="F51" s="30">
        <v>2981.25</v>
      </c>
      <c r="G51" s="30">
        <f t="shared" si="4"/>
        <v>89.44</v>
      </c>
    </row>
    <row r="52" spans="1:7" s="6" customFormat="1">
      <c r="A52" s="77"/>
      <c r="B52" s="107" t="s">
        <v>51</v>
      </c>
      <c r="C52" s="107"/>
      <c r="D52" s="107"/>
      <c r="E52" s="107"/>
      <c r="F52" s="107"/>
      <c r="G52" s="39">
        <f>SUM(G49:G51)</f>
        <v>462.82</v>
      </c>
    </row>
    <row r="53" spans="1:7" s="6" customFormat="1" ht="15">
      <c r="A53" s="35" t="s">
        <v>52</v>
      </c>
      <c r="B53" s="104" t="s">
        <v>30</v>
      </c>
      <c r="C53" s="105"/>
      <c r="D53" s="105"/>
      <c r="E53" s="105"/>
      <c r="F53" s="105"/>
      <c r="G53" s="106"/>
    </row>
    <row r="54" spans="1:7" s="6" customFormat="1" ht="16.149999999999999" customHeight="1">
      <c r="A54" s="77"/>
      <c r="B54" s="20" t="s">
        <v>3</v>
      </c>
      <c r="C54" s="20" t="s">
        <v>33</v>
      </c>
      <c r="D54" s="20" t="s">
        <v>13</v>
      </c>
      <c r="E54" s="21" t="s">
        <v>14</v>
      </c>
      <c r="F54" s="20" t="s">
        <v>7</v>
      </c>
      <c r="G54" s="20" t="s">
        <v>9</v>
      </c>
    </row>
    <row r="55" spans="1:7" s="6" customFormat="1" ht="25.5">
      <c r="A55" s="77"/>
      <c r="B55" s="28" t="s">
        <v>53</v>
      </c>
      <c r="C55" s="23" t="s">
        <v>30</v>
      </c>
      <c r="D55" s="24" t="s">
        <v>11</v>
      </c>
      <c r="E55" s="25">
        <v>1</v>
      </c>
      <c r="F55" s="30">
        <v>110</v>
      </c>
      <c r="G55" s="30">
        <f>ROUND(E55*F55,2)</f>
        <v>110</v>
      </c>
    </row>
    <row r="56" spans="1:7" s="6" customFormat="1">
      <c r="A56" s="77"/>
      <c r="B56" s="107" t="s">
        <v>16</v>
      </c>
      <c r="C56" s="107"/>
      <c r="D56" s="107"/>
      <c r="E56" s="107"/>
      <c r="F56" s="107"/>
      <c r="G56" s="39">
        <f>SUM(G55:G55)</f>
        <v>110</v>
      </c>
    </row>
    <row r="57" spans="1:7" s="6" customFormat="1" ht="15">
      <c r="A57" s="35" t="s">
        <v>54</v>
      </c>
      <c r="B57" s="104" t="s">
        <v>31</v>
      </c>
      <c r="C57" s="105"/>
      <c r="D57" s="105"/>
      <c r="E57" s="105"/>
      <c r="F57" s="105"/>
      <c r="G57" s="106"/>
    </row>
    <row r="58" spans="1:7" s="6" customFormat="1" ht="16.149999999999999" customHeight="1">
      <c r="A58" s="77"/>
      <c r="B58" s="20" t="s">
        <v>3</v>
      </c>
      <c r="C58" s="20" t="s">
        <v>33</v>
      </c>
      <c r="D58" s="20" t="s">
        <v>13</v>
      </c>
      <c r="E58" s="21" t="s">
        <v>14</v>
      </c>
      <c r="F58" s="20" t="s">
        <v>7</v>
      </c>
      <c r="G58" s="20" t="s">
        <v>9</v>
      </c>
    </row>
    <row r="59" spans="1:7" s="6" customFormat="1" ht="25.5">
      <c r="A59" s="77"/>
      <c r="B59" s="28" t="s">
        <v>53</v>
      </c>
      <c r="C59" s="23" t="s">
        <v>31</v>
      </c>
      <c r="D59" s="24" t="s">
        <v>11</v>
      </c>
      <c r="E59" s="25">
        <v>1</v>
      </c>
      <c r="F59" s="30">
        <v>60</v>
      </c>
      <c r="G59" s="30">
        <f>ROUND(E59*F59,2)</f>
        <v>60</v>
      </c>
    </row>
    <row r="60" spans="1:7" s="6" customFormat="1">
      <c r="A60" s="77"/>
      <c r="B60" s="107" t="s">
        <v>16</v>
      </c>
      <c r="C60" s="107"/>
      <c r="D60" s="107"/>
      <c r="E60" s="107"/>
      <c r="F60" s="107"/>
      <c r="G60" s="39">
        <f>SUM(G59:G59)</f>
        <v>60</v>
      </c>
    </row>
    <row r="61" spans="1:7" s="6" customFormat="1" ht="15">
      <c r="A61" s="35" t="s">
        <v>55</v>
      </c>
      <c r="B61" s="104" t="s">
        <v>32</v>
      </c>
      <c r="C61" s="105"/>
      <c r="D61" s="105"/>
      <c r="E61" s="105"/>
      <c r="F61" s="105"/>
      <c r="G61" s="106"/>
    </row>
    <row r="62" spans="1:7" s="6" customFormat="1" ht="16.149999999999999" customHeight="1">
      <c r="A62" s="77"/>
      <c r="B62" s="20" t="s">
        <v>3</v>
      </c>
      <c r="C62" s="20" t="s">
        <v>33</v>
      </c>
      <c r="D62" s="20" t="s">
        <v>13</v>
      </c>
      <c r="E62" s="21" t="s">
        <v>14</v>
      </c>
      <c r="F62" s="20" t="s">
        <v>7</v>
      </c>
      <c r="G62" s="20" t="s">
        <v>9</v>
      </c>
    </row>
    <row r="63" spans="1:7" s="6" customFormat="1" ht="25.5">
      <c r="A63" s="77"/>
      <c r="B63" s="28" t="s">
        <v>53</v>
      </c>
      <c r="C63" s="23" t="s">
        <v>32</v>
      </c>
      <c r="D63" s="24" t="s">
        <v>11</v>
      </c>
      <c r="E63" s="25">
        <v>1</v>
      </c>
      <c r="F63" s="30">
        <v>70</v>
      </c>
      <c r="G63" s="30">
        <f>ROUND(E63*F63,2)</f>
        <v>70</v>
      </c>
    </row>
    <row r="64" spans="1:7" s="6" customFormat="1">
      <c r="A64" s="77"/>
      <c r="B64" s="107" t="s">
        <v>16</v>
      </c>
      <c r="C64" s="107"/>
      <c r="D64" s="107"/>
      <c r="E64" s="107"/>
      <c r="F64" s="107"/>
      <c r="G64" s="39">
        <f>SUM(G63:G63)</f>
        <v>70</v>
      </c>
    </row>
    <row r="65" spans="1:7" s="6" customFormat="1" ht="15">
      <c r="A65" s="35" t="s">
        <v>117</v>
      </c>
      <c r="B65" s="104" t="s">
        <v>118</v>
      </c>
      <c r="C65" s="105"/>
      <c r="D65" s="105"/>
      <c r="E65" s="105"/>
      <c r="F65" s="105"/>
      <c r="G65" s="106"/>
    </row>
    <row r="66" spans="1:7" s="6" customFormat="1" ht="16.149999999999999" customHeight="1">
      <c r="A66" s="77"/>
      <c r="B66" s="20" t="s">
        <v>3</v>
      </c>
      <c r="C66" s="20" t="s">
        <v>33</v>
      </c>
      <c r="D66" s="20" t="s">
        <v>13</v>
      </c>
      <c r="E66" s="21" t="s">
        <v>14</v>
      </c>
      <c r="F66" s="20" t="s">
        <v>7</v>
      </c>
      <c r="G66" s="20" t="s">
        <v>9</v>
      </c>
    </row>
    <row r="67" spans="1:7" s="6" customFormat="1" ht="25.5">
      <c r="A67" s="77"/>
      <c r="B67" s="28" t="s">
        <v>53</v>
      </c>
      <c r="C67" s="23" t="s">
        <v>118</v>
      </c>
      <c r="D67" s="24" t="s">
        <v>11</v>
      </c>
      <c r="E67" s="25">
        <v>1</v>
      </c>
      <c r="F67" s="30">
        <v>20000</v>
      </c>
      <c r="G67" s="30">
        <f>ROUND(E67*F67,2)</f>
        <v>20000</v>
      </c>
    </row>
    <row r="68" spans="1:7" s="6" customFormat="1">
      <c r="A68" s="78"/>
      <c r="B68" s="107" t="s">
        <v>16</v>
      </c>
      <c r="C68" s="107"/>
      <c r="D68" s="107"/>
      <c r="E68" s="107"/>
      <c r="F68" s="107"/>
      <c r="G68" s="39">
        <f>SUM(G67:G67)</f>
        <v>20000</v>
      </c>
    </row>
  </sheetData>
  <mergeCells count="25">
    <mergeCell ref="F3:G3"/>
    <mergeCell ref="F4:G4"/>
    <mergeCell ref="B37:G37"/>
    <mergeCell ref="B30:F30"/>
    <mergeCell ref="B24:F24"/>
    <mergeCell ref="B8:G8"/>
    <mergeCell ref="B26:G26"/>
    <mergeCell ref="B25:G25"/>
    <mergeCell ref="A7:G7"/>
    <mergeCell ref="B57:G57"/>
    <mergeCell ref="B32:G32"/>
    <mergeCell ref="B36:F36"/>
    <mergeCell ref="B31:G31"/>
    <mergeCell ref="B47:G47"/>
    <mergeCell ref="B41:G41"/>
    <mergeCell ref="B52:F52"/>
    <mergeCell ref="B46:F46"/>
    <mergeCell ref="B53:G53"/>
    <mergeCell ref="B56:F56"/>
    <mergeCell ref="B40:F40"/>
    <mergeCell ref="B65:G65"/>
    <mergeCell ref="B68:F68"/>
    <mergeCell ref="B60:F60"/>
    <mergeCell ref="B61:G61"/>
    <mergeCell ref="B64:F64"/>
  </mergeCells>
  <printOptions horizontalCentered="1" verticalCentered="1"/>
  <pageMargins left="0.196527777777778" right="0.196527777777778" top="0.74791666666666701" bottom="0.74791666666666701" header="0.51180555555555496" footer="0.51180555555555496"/>
  <pageSetup paperSize="9" firstPageNumber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145" zoomScaleNormal="145" workbookViewId="0">
      <selection activeCell="I17" sqref="I17"/>
    </sheetView>
  </sheetViews>
  <sheetFormatPr defaultRowHeight="12.75"/>
  <cols>
    <col min="1" max="1" width="33.25" style="48" customWidth="1"/>
    <col min="2" max="2" width="17.75" style="48" customWidth="1"/>
    <col min="3" max="3" width="8.875" style="48" bestFit="1" customWidth="1"/>
    <col min="4" max="4" width="8.875" style="48" customWidth="1"/>
    <col min="5" max="5" width="13.625" style="48" customWidth="1"/>
    <col min="6" max="6" width="11.125" style="48" customWidth="1"/>
    <col min="7" max="7" width="10.875" style="48" customWidth="1"/>
    <col min="8" max="8" width="6.375" style="48" bestFit="1" customWidth="1"/>
    <col min="9" max="9" width="5.5" style="48" bestFit="1" customWidth="1"/>
    <col min="10" max="13" width="9" style="48"/>
    <col min="14" max="14" width="15" style="48" bestFit="1" customWidth="1"/>
    <col min="15" max="16384" width="9" style="48"/>
  </cols>
  <sheetData>
    <row r="1" spans="1:14">
      <c r="A1" s="122" t="s">
        <v>66</v>
      </c>
      <c r="B1" s="122"/>
      <c r="C1" s="122"/>
      <c r="D1" s="122"/>
      <c r="E1" s="122"/>
      <c r="F1" s="122"/>
    </row>
    <row r="2" spans="1:14" ht="42.75" customHeight="1">
      <c r="A2" s="123" t="s">
        <v>121</v>
      </c>
      <c r="B2" s="123"/>
      <c r="C2" s="123"/>
      <c r="D2" s="123"/>
      <c r="E2" s="123"/>
      <c r="F2" s="123"/>
    </row>
    <row r="3" spans="1:14" ht="12.75" customHeight="1">
      <c r="A3" s="122" t="s">
        <v>67</v>
      </c>
      <c r="B3" s="122"/>
      <c r="C3" s="122"/>
      <c r="D3" s="122"/>
      <c r="E3" s="122"/>
      <c r="F3" s="122"/>
    </row>
    <row r="4" spans="1:14">
      <c r="A4" s="124" t="s">
        <v>68</v>
      </c>
      <c r="B4" s="124"/>
      <c r="C4" s="124"/>
      <c r="D4" s="124"/>
      <c r="E4" s="124"/>
      <c r="F4" s="124"/>
      <c r="J4" s="49"/>
      <c r="K4" s="49"/>
      <c r="L4" s="49"/>
      <c r="M4" s="49"/>
      <c r="N4" s="50"/>
    </row>
    <row r="5" spans="1:14" ht="15" customHeight="1">
      <c r="A5" s="120"/>
      <c r="B5" s="118" t="s">
        <v>71</v>
      </c>
      <c r="C5" s="118" t="s">
        <v>79</v>
      </c>
      <c r="D5" s="118" t="s">
        <v>80</v>
      </c>
      <c r="E5" s="118" t="s">
        <v>77</v>
      </c>
      <c r="F5" s="118" t="s">
        <v>78</v>
      </c>
    </row>
    <row r="6" spans="1:14" ht="24" customHeight="1">
      <c r="A6" s="121"/>
      <c r="B6" s="119"/>
      <c r="C6" s="119"/>
      <c r="D6" s="119"/>
      <c r="E6" s="119"/>
      <c r="F6" s="119"/>
    </row>
    <row r="7" spans="1:14">
      <c r="A7" s="51" t="s">
        <v>69</v>
      </c>
      <c r="B7" s="52">
        <f>7.31+8.76+30.76+25.09</f>
        <v>71.92</v>
      </c>
      <c r="C7" s="52">
        <f>IF(B7&lt;=8,8,50)</f>
        <v>50</v>
      </c>
      <c r="D7" s="52">
        <f>ROUNDUP(B7/C7,0)</f>
        <v>2</v>
      </c>
      <c r="E7" s="52">
        <f>IF(C7=50,4,3)</f>
        <v>4</v>
      </c>
      <c r="F7" s="56">
        <f>ROUND(D7*E7,0)</f>
        <v>8</v>
      </c>
    </row>
    <row r="8" spans="1:14">
      <c r="A8" s="51" t="s">
        <v>70</v>
      </c>
      <c r="B8" s="52">
        <f>4.42+9.92+29.35+9.26</f>
        <v>52.949999999999996</v>
      </c>
      <c r="C8" s="52">
        <f t="shared" ref="C8:C15" si="0">IF(B8&lt;=8,8,50)</f>
        <v>50</v>
      </c>
      <c r="D8" s="52">
        <f t="shared" ref="D8:D15" si="1">ROUNDUP(B8/C8,0)</f>
        <v>2</v>
      </c>
      <c r="E8" s="52">
        <f>IF(C8=50,4,3)</f>
        <v>4</v>
      </c>
      <c r="F8" s="56">
        <f t="shared" ref="F8:F15" si="2">ROUND(D8*E8,0)</f>
        <v>8</v>
      </c>
    </row>
    <row r="9" spans="1:14" ht="25.5">
      <c r="A9" s="51" t="s">
        <v>81</v>
      </c>
      <c r="B9" s="52">
        <f>46.32+(58.52/2)+70.8+112.44</f>
        <v>258.82</v>
      </c>
      <c r="C9" s="52">
        <f t="shared" si="0"/>
        <v>50</v>
      </c>
      <c r="D9" s="52">
        <f t="shared" si="1"/>
        <v>6</v>
      </c>
      <c r="E9" s="52">
        <f t="shared" ref="E9:E15" si="3">IF(C9=50,4,3)</f>
        <v>4</v>
      </c>
      <c r="F9" s="56">
        <f t="shared" si="2"/>
        <v>24</v>
      </c>
    </row>
    <row r="10" spans="1:14" ht="25.5">
      <c r="A10" s="51" t="s">
        <v>82</v>
      </c>
      <c r="B10" s="52">
        <f>58.52/2</f>
        <v>29.26</v>
      </c>
      <c r="C10" s="52">
        <f t="shared" ref="C10" si="4">IF(B10&lt;=8,8,50)</f>
        <v>50</v>
      </c>
      <c r="D10" s="52">
        <f t="shared" ref="D10" si="5">ROUNDUP(B10/C10,0)</f>
        <v>1</v>
      </c>
      <c r="E10" s="52">
        <f t="shared" ref="E10" si="6">IF(C10=50,4,3)</f>
        <v>4</v>
      </c>
      <c r="F10" s="56">
        <f t="shared" ref="F10" si="7">ROUND(D10*E10,0)</f>
        <v>4</v>
      </c>
    </row>
    <row r="11" spans="1:14">
      <c r="A11" s="51" t="s">
        <v>72</v>
      </c>
      <c r="B11" s="52">
        <f>11.15+7.61+45.69</f>
        <v>64.45</v>
      </c>
      <c r="C11" s="52">
        <f t="shared" si="0"/>
        <v>50</v>
      </c>
      <c r="D11" s="52">
        <f t="shared" si="1"/>
        <v>2</v>
      </c>
      <c r="E11" s="52">
        <f t="shared" si="3"/>
        <v>4</v>
      </c>
      <c r="F11" s="56">
        <f t="shared" si="2"/>
        <v>8</v>
      </c>
    </row>
    <row r="12" spans="1:14" ht="25.5">
      <c r="A12" s="51" t="s">
        <v>73</v>
      </c>
      <c r="B12" s="52">
        <f>12.4+7.83+14.04</f>
        <v>34.269999999999996</v>
      </c>
      <c r="C12" s="52">
        <f t="shared" si="0"/>
        <v>50</v>
      </c>
      <c r="D12" s="52">
        <f t="shared" si="1"/>
        <v>1</v>
      </c>
      <c r="E12" s="52">
        <f t="shared" si="3"/>
        <v>4</v>
      </c>
      <c r="F12" s="56">
        <f t="shared" si="2"/>
        <v>4</v>
      </c>
    </row>
    <row r="13" spans="1:14">
      <c r="A13" s="51" t="s">
        <v>74</v>
      </c>
      <c r="B13" s="52">
        <f>2.9/2</f>
        <v>1.45</v>
      </c>
      <c r="C13" s="52">
        <f t="shared" si="0"/>
        <v>8</v>
      </c>
      <c r="D13" s="52">
        <f t="shared" si="1"/>
        <v>1</v>
      </c>
      <c r="E13" s="52">
        <f t="shared" si="3"/>
        <v>3</v>
      </c>
      <c r="F13" s="56">
        <f t="shared" si="2"/>
        <v>3</v>
      </c>
    </row>
    <row r="14" spans="1:14">
      <c r="A14" s="51" t="s">
        <v>75</v>
      </c>
      <c r="B14" s="52">
        <f>17.27</f>
        <v>17.27</v>
      </c>
      <c r="C14" s="52">
        <f t="shared" si="0"/>
        <v>50</v>
      </c>
      <c r="D14" s="52">
        <f t="shared" si="1"/>
        <v>1</v>
      </c>
      <c r="E14" s="52">
        <f t="shared" si="3"/>
        <v>4</v>
      </c>
      <c r="F14" s="56">
        <f t="shared" si="2"/>
        <v>4</v>
      </c>
    </row>
    <row r="15" spans="1:14">
      <c r="A15" s="51" t="s">
        <v>76</v>
      </c>
      <c r="B15" s="52">
        <v>2.6</v>
      </c>
      <c r="C15" s="52">
        <f t="shared" si="0"/>
        <v>8</v>
      </c>
      <c r="D15" s="52">
        <f t="shared" si="1"/>
        <v>1</v>
      </c>
      <c r="E15" s="52">
        <f t="shared" si="3"/>
        <v>3</v>
      </c>
      <c r="F15" s="56">
        <f t="shared" si="2"/>
        <v>3</v>
      </c>
    </row>
    <row r="16" spans="1:14">
      <c r="A16" s="51"/>
      <c r="B16" s="53"/>
      <c r="C16" s="52"/>
      <c r="D16" s="53"/>
      <c r="E16" s="54" t="s">
        <v>9</v>
      </c>
      <c r="F16" s="55">
        <f>SUM(F7:F15)</f>
        <v>66</v>
      </c>
    </row>
    <row r="17" spans="1:6" ht="15" customHeight="1">
      <c r="A17" s="120"/>
      <c r="B17" s="118" t="s">
        <v>71</v>
      </c>
      <c r="C17" s="118" t="s">
        <v>79</v>
      </c>
      <c r="D17" s="118" t="s">
        <v>80</v>
      </c>
      <c r="E17" s="118" t="s">
        <v>77</v>
      </c>
      <c r="F17" s="118" t="s">
        <v>78</v>
      </c>
    </row>
    <row r="18" spans="1:6" ht="24" customHeight="1">
      <c r="A18" s="121"/>
      <c r="B18" s="119"/>
      <c r="C18" s="119"/>
      <c r="D18" s="119"/>
      <c r="E18" s="119"/>
      <c r="F18" s="119"/>
    </row>
    <row r="19" spans="1:6">
      <c r="A19" s="51" t="s">
        <v>105</v>
      </c>
      <c r="B19" s="52">
        <f>7.31+8.76+30.76+25.09</f>
        <v>71.92</v>
      </c>
      <c r="C19" s="52">
        <f>IF(B19&lt;=8,8,50)</f>
        <v>50</v>
      </c>
      <c r="D19" s="52">
        <f>ROUNDUP(B19/C19,0)</f>
        <v>2</v>
      </c>
      <c r="E19" s="52">
        <f>IF(C19=50,4,3)</f>
        <v>4</v>
      </c>
      <c r="F19" s="56">
        <f>ROUND(D19*E19,0)</f>
        <v>8</v>
      </c>
    </row>
    <row r="20" spans="1:6">
      <c r="A20" s="51" t="s">
        <v>106</v>
      </c>
      <c r="B20" s="52">
        <f>4.42+9.92+29.35+9.26</f>
        <v>52.949999999999996</v>
      </c>
      <c r="C20" s="52">
        <f t="shared" ref="C20:C27" si="8">IF(B20&lt;=8,8,50)</f>
        <v>50</v>
      </c>
      <c r="D20" s="52">
        <f t="shared" ref="D20:D27" si="9">ROUNDUP(B20/C20,0)</f>
        <v>2</v>
      </c>
      <c r="E20" s="52">
        <f>IF(C20=50,4,3)</f>
        <v>4</v>
      </c>
      <c r="F20" s="56">
        <f t="shared" ref="F20:F27" si="10">ROUND(D20*E20,0)</f>
        <v>8</v>
      </c>
    </row>
    <row r="21" spans="1:6">
      <c r="A21" s="51" t="s">
        <v>107</v>
      </c>
      <c r="B21" s="52">
        <f>46.32+(58.52/2)+70.8+112.44</f>
        <v>258.82</v>
      </c>
      <c r="C21" s="52">
        <f t="shared" si="8"/>
        <v>50</v>
      </c>
      <c r="D21" s="52">
        <f t="shared" si="9"/>
        <v>6</v>
      </c>
      <c r="E21" s="52">
        <f t="shared" ref="E21:E27" si="11">IF(C21=50,4,3)</f>
        <v>4</v>
      </c>
      <c r="F21" s="56">
        <f t="shared" si="10"/>
        <v>24</v>
      </c>
    </row>
    <row r="22" spans="1:6">
      <c r="A22" s="51" t="s">
        <v>108</v>
      </c>
      <c r="B22" s="52">
        <f>58.52/2</f>
        <v>29.26</v>
      </c>
      <c r="C22" s="52">
        <f t="shared" si="8"/>
        <v>50</v>
      </c>
      <c r="D22" s="52">
        <f t="shared" si="9"/>
        <v>1</v>
      </c>
      <c r="E22" s="52">
        <f t="shared" si="11"/>
        <v>4</v>
      </c>
      <c r="F22" s="56">
        <f t="shared" si="10"/>
        <v>4</v>
      </c>
    </row>
    <row r="23" spans="1:6">
      <c r="A23" s="51" t="s">
        <v>109</v>
      </c>
      <c r="B23" s="52">
        <f>11.15+7.61+45.69</f>
        <v>64.45</v>
      </c>
      <c r="C23" s="52">
        <f t="shared" si="8"/>
        <v>50</v>
      </c>
      <c r="D23" s="52">
        <f t="shared" si="9"/>
        <v>2</v>
      </c>
      <c r="E23" s="52">
        <f t="shared" si="11"/>
        <v>4</v>
      </c>
      <c r="F23" s="56">
        <f t="shared" si="10"/>
        <v>8</v>
      </c>
    </row>
    <row r="24" spans="1:6">
      <c r="A24" s="51" t="s">
        <v>110</v>
      </c>
      <c r="B24" s="52">
        <f>12.4+7.83+14.04</f>
        <v>34.269999999999996</v>
      </c>
      <c r="C24" s="52">
        <f t="shared" si="8"/>
        <v>50</v>
      </c>
      <c r="D24" s="52">
        <f t="shared" si="9"/>
        <v>1</v>
      </c>
      <c r="E24" s="52">
        <f t="shared" si="11"/>
        <v>4</v>
      </c>
      <c r="F24" s="56">
        <f t="shared" si="10"/>
        <v>4</v>
      </c>
    </row>
    <row r="25" spans="1:6">
      <c r="A25" s="51" t="s">
        <v>111</v>
      </c>
      <c r="B25" s="52">
        <f>2.9/2</f>
        <v>1.45</v>
      </c>
      <c r="C25" s="52">
        <f t="shared" si="8"/>
        <v>8</v>
      </c>
      <c r="D25" s="52">
        <f t="shared" si="9"/>
        <v>1</v>
      </c>
      <c r="E25" s="52">
        <f t="shared" si="11"/>
        <v>3</v>
      </c>
      <c r="F25" s="56">
        <f t="shared" si="10"/>
        <v>3</v>
      </c>
    </row>
    <row r="26" spans="1:6">
      <c r="A26" s="51" t="s">
        <v>112</v>
      </c>
      <c r="B26" s="52">
        <f>17.27</f>
        <v>17.27</v>
      </c>
      <c r="C26" s="52">
        <f t="shared" si="8"/>
        <v>50</v>
      </c>
      <c r="D26" s="52">
        <f t="shared" si="9"/>
        <v>1</v>
      </c>
      <c r="E26" s="52">
        <f t="shared" si="11"/>
        <v>4</v>
      </c>
      <c r="F26" s="56">
        <f t="shared" si="10"/>
        <v>4</v>
      </c>
    </row>
    <row r="27" spans="1:6">
      <c r="A27" s="51" t="s">
        <v>113</v>
      </c>
      <c r="B27" s="52">
        <v>2.6</v>
      </c>
      <c r="C27" s="52">
        <f t="shared" si="8"/>
        <v>8</v>
      </c>
      <c r="D27" s="52">
        <f t="shared" si="9"/>
        <v>1</v>
      </c>
      <c r="E27" s="52">
        <f t="shared" si="11"/>
        <v>3</v>
      </c>
      <c r="F27" s="56">
        <f t="shared" si="10"/>
        <v>3</v>
      </c>
    </row>
    <row r="28" spans="1:6">
      <c r="A28" s="51"/>
      <c r="B28" s="53"/>
      <c r="C28" s="52"/>
      <c r="D28" s="53"/>
      <c r="E28" s="54" t="s">
        <v>9</v>
      </c>
      <c r="F28" s="55">
        <f>SUM(F19:F27)</f>
        <v>66</v>
      </c>
    </row>
    <row r="29" spans="1:6" ht="15" customHeight="1">
      <c r="A29" s="120"/>
      <c r="B29" s="118" t="s">
        <v>71</v>
      </c>
      <c r="C29" s="118" t="s">
        <v>79</v>
      </c>
      <c r="D29" s="118" t="s">
        <v>80</v>
      </c>
      <c r="E29" s="118" t="s">
        <v>95</v>
      </c>
      <c r="F29" s="118" t="s">
        <v>96</v>
      </c>
    </row>
    <row r="30" spans="1:6" ht="24" customHeight="1">
      <c r="A30" s="121"/>
      <c r="B30" s="119"/>
      <c r="C30" s="119"/>
      <c r="D30" s="119"/>
      <c r="E30" s="119"/>
      <c r="F30" s="119"/>
    </row>
    <row r="31" spans="1:6">
      <c r="A31" s="51" t="s">
        <v>85</v>
      </c>
      <c r="B31" s="52" t="s">
        <v>94</v>
      </c>
      <c r="C31" s="52" t="s">
        <v>94</v>
      </c>
      <c r="D31" s="52" t="s">
        <v>94</v>
      </c>
      <c r="E31" s="56">
        <f>4+14</f>
        <v>18</v>
      </c>
      <c r="F31" s="56">
        <f>E31</f>
        <v>18</v>
      </c>
    </row>
    <row r="32" spans="1:6">
      <c r="A32" s="51" t="s">
        <v>86</v>
      </c>
      <c r="B32" s="52" t="s">
        <v>94</v>
      </c>
      <c r="C32" s="52" t="s">
        <v>94</v>
      </c>
      <c r="D32" s="52" t="s">
        <v>94</v>
      </c>
      <c r="E32" s="56">
        <f>4+8+3+4</f>
        <v>19</v>
      </c>
      <c r="F32" s="56">
        <f t="shared" ref="F32:F39" si="12">E32</f>
        <v>19</v>
      </c>
    </row>
    <row r="33" spans="1:6">
      <c r="A33" s="51" t="s">
        <v>87</v>
      </c>
      <c r="B33" s="52" t="s">
        <v>94</v>
      </c>
      <c r="C33" s="52" t="s">
        <v>94</v>
      </c>
      <c r="D33" s="52" t="s">
        <v>94</v>
      </c>
      <c r="E33" s="56">
        <f>8+28</f>
        <v>36</v>
      </c>
      <c r="F33" s="56">
        <f t="shared" si="12"/>
        <v>36</v>
      </c>
    </row>
    <row r="34" spans="1:6" ht="25.5">
      <c r="A34" s="51" t="s">
        <v>88</v>
      </c>
      <c r="B34" s="52" t="s">
        <v>94</v>
      </c>
      <c r="C34" s="52" t="s">
        <v>94</v>
      </c>
      <c r="D34" s="52" t="s">
        <v>94</v>
      </c>
      <c r="E34" s="56">
        <f>28</f>
        <v>28</v>
      </c>
      <c r="F34" s="56">
        <f t="shared" si="12"/>
        <v>28</v>
      </c>
    </row>
    <row r="35" spans="1:6">
      <c r="A35" s="51" t="s">
        <v>89</v>
      </c>
      <c r="B35" s="52" t="s">
        <v>94</v>
      </c>
      <c r="C35" s="52" t="s">
        <v>94</v>
      </c>
      <c r="D35" s="52" t="s">
        <v>94</v>
      </c>
      <c r="E35" s="56">
        <f>7+11+8</f>
        <v>26</v>
      </c>
      <c r="F35" s="56">
        <f t="shared" si="12"/>
        <v>26</v>
      </c>
    </row>
    <row r="36" spans="1:6">
      <c r="A36" s="51" t="s">
        <v>90</v>
      </c>
      <c r="B36" s="52" t="s">
        <v>94</v>
      </c>
      <c r="C36" s="52" t="s">
        <v>94</v>
      </c>
      <c r="D36" s="52" t="s">
        <v>94</v>
      </c>
      <c r="E36" s="56">
        <f>6+14+6</f>
        <v>26</v>
      </c>
      <c r="F36" s="56">
        <f t="shared" si="12"/>
        <v>26</v>
      </c>
    </row>
    <row r="37" spans="1:6">
      <c r="A37" s="51" t="s">
        <v>91</v>
      </c>
      <c r="B37" s="52" t="s">
        <v>94</v>
      </c>
      <c r="C37" s="52" t="s">
        <v>94</v>
      </c>
      <c r="D37" s="52" t="s">
        <v>94</v>
      </c>
      <c r="E37" s="56">
        <v>4</v>
      </c>
      <c r="F37" s="56">
        <f t="shared" si="12"/>
        <v>4</v>
      </c>
    </row>
    <row r="38" spans="1:6">
      <c r="A38" s="51" t="s">
        <v>92</v>
      </c>
      <c r="B38" s="52" t="s">
        <v>94</v>
      </c>
      <c r="C38" s="52" t="s">
        <v>94</v>
      </c>
      <c r="D38" s="52" t="s">
        <v>94</v>
      </c>
      <c r="E38" s="56">
        <f>3+13</f>
        <v>16</v>
      </c>
      <c r="F38" s="56">
        <f t="shared" si="12"/>
        <v>16</v>
      </c>
    </row>
    <row r="39" spans="1:6">
      <c r="A39" s="51" t="s">
        <v>93</v>
      </c>
      <c r="B39" s="52" t="s">
        <v>94</v>
      </c>
      <c r="C39" s="52" t="s">
        <v>94</v>
      </c>
      <c r="D39" s="52" t="s">
        <v>94</v>
      </c>
      <c r="E39" s="56">
        <f>4</f>
        <v>4</v>
      </c>
      <c r="F39" s="56">
        <f t="shared" si="12"/>
        <v>4</v>
      </c>
    </row>
    <row r="40" spans="1:6">
      <c r="A40" s="51"/>
      <c r="B40" s="53"/>
      <c r="C40" s="52"/>
      <c r="D40" s="53"/>
      <c r="E40" s="54" t="s">
        <v>9</v>
      </c>
      <c r="F40" s="55">
        <f>SUM(F31:F39)</f>
        <v>177</v>
      </c>
    </row>
    <row r="41" spans="1:6" ht="31.5" customHeight="1">
      <c r="A41" s="120"/>
      <c r="B41" s="118" t="s">
        <v>103</v>
      </c>
      <c r="C41" s="118" t="s">
        <v>102</v>
      </c>
      <c r="D41" s="118" t="s">
        <v>104</v>
      </c>
      <c r="E41" s="79"/>
      <c r="F41" s="79"/>
    </row>
    <row r="42" spans="1:6" ht="22.5" customHeight="1">
      <c r="A42" s="121"/>
      <c r="B42" s="119"/>
      <c r="C42" s="119"/>
      <c r="D42" s="119"/>
      <c r="E42" s="79"/>
      <c r="F42" s="79"/>
    </row>
    <row r="43" spans="1:6">
      <c r="A43" s="51" t="s">
        <v>98</v>
      </c>
      <c r="B43" s="62">
        <f>4+14</f>
        <v>18</v>
      </c>
      <c r="C43" s="61">
        <f>ROUND(0.3*0.3,2)</f>
        <v>0.09</v>
      </c>
      <c r="D43" s="61">
        <f>ROUND(B43*C43,2)</f>
        <v>1.62</v>
      </c>
      <c r="E43" s="79"/>
      <c r="F43" s="79"/>
    </row>
    <row r="44" spans="1:6">
      <c r="A44" s="51" t="s">
        <v>99</v>
      </c>
      <c r="B44" s="62">
        <f>7+11+8</f>
        <v>26</v>
      </c>
      <c r="C44" s="61">
        <f t="shared" ref="C44:C46" si="13">ROUND(0.3*0.3,2)</f>
        <v>0.09</v>
      </c>
      <c r="D44" s="61">
        <f t="shared" ref="D44:D46" si="14">ROUND(B44*C44,2)</f>
        <v>2.34</v>
      </c>
      <c r="E44" s="79"/>
      <c r="F44" s="79"/>
    </row>
    <row r="45" spans="1:6" ht="25.5">
      <c r="A45" s="51" t="s">
        <v>100</v>
      </c>
      <c r="B45" s="62">
        <v>5</v>
      </c>
      <c r="C45" s="61">
        <f t="shared" si="13"/>
        <v>0.09</v>
      </c>
      <c r="D45" s="61">
        <f t="shared" si="14"/>
        <v>0.45</v>
      </c>
      <c r="E45" s="79"/>
      <c r="F45" s="79"/>
    </row>
    <row r="46" spans="1:6">
      <c r="A46" s="51" t="s">
        <v>101</v>
      </c>
      <c r="B46" s="62">
        <f>4</f>
        <v>4</v>
      </c>
      <c r="C46" s="61">
        <f t="shared" si="13"/>
        <v>0.09</v>
      </c>
      <c r="D46" s="61">
        <f t="shared" si="14"/>
        <v>0.36</v>
      </c>
      <c r="E46" s="79"/>
      <c r="F46" s="79"/>
    </row>
    <row r="47" spans="1:6">
      <c r="A47" s="51"/>
      <c r="B47" s="53"/>
      <c r="C47" s="54" t="s">
        <v>9</v>
      </c>
      <c r="D47" s="55">
        <f>SUM(D43:D46)</f>
        <v>4.7700000000000005</v>
      </c>
      <c r="E47" s="79"/>
      <c r="F47" s="79"/>
    </row>
  </sheetData>
  <mergeCells count="26">
    <mergeCell ref="A1:F1"/>
    <mergeCell ref="A2:F2"/>
    <mergeCell ref="A3:F3"/>
    <mergeCell ref="A4:F4"/>
    <mergeCell ref="A29:A30"/>
    <mergeCell ref="B29:B30"/>
    <mergeCell ref="C29:C30"/>
    <mergeCell ref="D29:D30"/>
    <mergeCell ref="E29:E30"/>
    <mergeCell ref="F29:F30"/>
    <mergeCell ref="A5:A6"/>
    <mergeCell ref="B5:B6"/>
    <mergeCell ref="C5:C6"/>
    <mergeCell ref="E5:E6"/>
    <mergeCell ref="F5:F6"/>
    <mergeCell ref="D5:D6"/>
    <mergeCell ref="E17:E18"/>
    <mergeCell ref="F17:F18"/>
    <mergeCell ref="A41:A42"/>
    <mergeCell ref="B41:B42"/>
    <mergeCell ref="D41:D42"/>
    <mergeCell ref="C41:C42"/>
    <mergeCell ref="A17:A18"/>
    <mergeCell ref="B17:B18"/>
    <mergeCell ref="C17:C18"/>
    <mergeCell ref="D17:D18"/>
  </mergeCells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25" sqref="C25"/>
    </sheetView>
  </sheetViews>
  <sheetFormatPr defaultRowHeight="14.25"/>
  <cols>
    <col min="2" max="2" width="38.25" customWidth="1"/>
  </cols>
  <sheetData>
    <row r="1" spans="1:10" ht="16.5" thickBot="1">
      <c r="A1" s="130" t="s">
        <v>123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14.25" customHeight="1">
      <c r="A2" s="136"/>
      <c r="B2" s="138"/>
      <c r="C2" s="136" t="s">
        <v>124</v>
      </c>
      <c r="D2" s="137"/>
      <c r="E2" s="138"/>
      <c r="F2" s="136" t="s">
        <v>125</v>
      </c>
      <c r="G2" s="137"/>
      <c r="H2" s="138"/>
      <c r="I2" s="136" t="s">
        <v>142</v>
      </c>
      <c r="J2" s="138"/>
    </row>
    <row r="3" spans="1:10">
      <c r="A3" s="139"/>
      <c r="B3" s="140"/>
      <c r="C3" s="139"/>
      <c r="D3" s="135"/>
      <c r="E3" s="140"/>
      <c r="F3" s="139"/>
      <c r="G3" s="135"/>
      <c r="H3" s="140"/>
      <c r="I3" s="139"/>
      <c r="J3" s="140"/>
    </row>
    <row r="4" spans="1:10" ht="15" thickBot="1">
      <c r="A4" s="141"/>
      <c r="B4" s="143"/>
      <c r="C4" s="141"/>
      <c r="D4" s="142"/>
      <c r="E4" s="143"/>
      <c r="F4" s="141"/>
      <c r="G4" s="142"/>
      <c r="H4" s="143"/>
      <c r="I4" s="141"/>
      <c r="J4" s="143"/>
    </row>
    <row r="5" spans="1:10" ht="15" thickBot="1">
      <c r="A5" s="160" t="s">
        <v>126</v>
      </c>
      <c r="B5" s="161"/>
      <c r="C5" s="144">
        <v>0.64590000000000003</v>
      </c>
      <c r="D5" s="145"/>
      <c r="E5" s="146"/>
      <c r="F5" s="144">
        <v>0.1041</v>
      </c>
      <c r="G5" s="145"/>
      <c r="H5" s="146"/>
      <c r="I5" s="147">
        <v>0.25</v>
      </c>
      <c r="J5" s="148"/>
    </row>
    <row r="6" spans="1:10" ht="39" customHeight="1" thickBot="1">
      <c r="A6" s="160" t="s">
        <v>127</v>
      </c>
      <c r="B6" s="161"/>
      <c r="C6" s="144">
        <v>0.64590000000000003</v>
      </c>
      <c r="D6" s="145"/>
      <c r="E6" s="146"/>
      <c r="F6" s="147">
        <v>0.75</v>
      </c>
      <c r="G6" s="149"/>
      <c r="H6" s="148"/>
      <c r="I6" s="147">
        <v>1</v>
      </c>
      <c r="J6" s="148"/>
    </row>
    <row r="7" spans="1:10">
      <c r="A7" s="133"/>
      <c r="B7" s="133" t="s">
        <v>4</v>
      </c>
      <c r="C7" s="133" t="s">
        <v>128</v>
      </c>
      <c r="D7" s="133" t="s">
        <v>129</v>
      </c>
      <c r="E7" s="133" t="s">
        <v>130</v>
      </c>
      <c r="F7" s="133" t="s">
        <v>128</v>
      </c>
      <c r="G7" s="133" t="s">
        <v>129</v>
      </c>
      <c r="H7" s="133" t="s">
        <v>130</v>
      </c>
      <c r="I7" s="133" t="s">
        <v>131</v>
      </c>
      <c r="J7" s="125">
        <v>15</v>
      </c>
    </row>
    <row r="8" spans="1:10" ht="15" thickBot="1">
      <c r="A8" s="134"/>
      <c r="B8" s="134"/>
      <c r="C8" s="134"/>
      <c r="D8" s="134"/>
      <c r="E8" s="134"/>
      <c r="F8" s="134"/>
      <c r="G8" s="134"/>
      <c r="H8" s="134"/>
      <c r="I8" s="134"/>
      <c r="J8" s="126" t="s">
        <v>132</v>
      </c>
    </row>
    <row r="9" spans="1:10" ht="15" thickBot="1">
      <c r="A9" s="158">
        <v>1</v>
      </c>
      <c r="B9" s="127" t="s">
        <v>133</v>
      </c>
      <c r="C9" s="128"/>
      <c r="D9" s="129"/>
      <c r="E9" s="129"/>
      <c r="F9" s="129"/>
      <c r="G9" s="129"/>
      <c r="H9" s="129"/>
      <c r="I9" s="129"/>
      <c r="J9" s="129"/>
    </row>
    <row r="10" spans="1:10" ht="15" thickBot="1">
      <c r="A10" s="157"/>
      <c r="B10" s="127" t="s">
        <v>134</v>
      </c>
      <c r="C10" s="129"/>
      <c r="D10" s="128"/>
      <c r="E10" s="129"/>
      <c r="F10" s="129"/>
      <c r="G10" s="129"/>
      <c r="H10" s="129"/>
      <c r="I10" s="129"/>
      <c r="J10" s="129"/>
    </row>
    <row r="11" spans="1:10" ht="15" thickBot="1">
      <c r="A11" s="159"/>
      <c r="B11" s="127" t="s">
        <v>135</v>
      </c>
      <c r="C11" s="129"/>
      <c r="D11" s="129"/>
      <c r="E11" s="128"/>
      <c r="F11" s="129"/>
      <c r="G11" s="129"/>
      <c r="H11" s="129"/>
      <c r="I11" s="129"/>
      <c r="J11" s="129"/>
    </row>
    <row r="12" spans="1:10" ht="15" thickBot="1">
      <c r="A12" s="158">
        <v>2</v>
      </c>
      <c r="B12" s="127" t="s">
        <v>136</v>
      </c>
      <c r="C12" s="129"/>
      <c r="D12" s="129"/>
      <c r="E12" s="129"/>
      <c r="F12" s="128"/>
      <c r="G12" s="129"/>
      <c r="H12" s="129"/>
      <c r="I12" s="129"/>
      <c r="J12" s="129"/>
    </row>
    <row r="13" spans="1:10" ht="15" thickBot="1">
      <c r="A13" s="157"/>
      <c r="B13" s="127" t="s">
        <v>137</v>
      </c>
      <c r="C13" s="129"/>
      <c r="D13" s="129"/>
      <c r="E13" s="129"/>
      <c r="F13" s="129"/>
      <c r="G13" s="128"/>
      <c r="H13" s="129"/>
      <c r="I13" s="129"/>
      <c r="J13" s="129"/>
    </row>
    <row r="14" spans="1:10" ht="15" thickBot="1">
      <c r="A14" s="159"/>
      <c r="B14" s="127" t="s">
        <v>138</v>
      </c>
      <c r="C14" s="129"/>
      <c r="D14" s="129"/>
      <c r="E14" s="129"/>
      <c r="F14" s="129"/>
      <c r="G14" s="129"/>
      <c r="H14" s="128"/>
      <c r="I14" s="129"/>
      <c r="J14" s="129"/>
    </row>
    <row r="15" spans="1:10">
      <c r="A15" s="158">
        <v>3</v>
      </c>
      <c r="B15" s="150" t="s">
        <v>139</v>
      </c>
      <c r="C15" s="152"/>
      <c r="D15" s="152"/>
      <c r="E15" s="152"/>
      <c r="F15" s="152"/>
      <c r="G15" s="152"/>
      <c r="H15" s="152"/>
      <c r="I15" s="154"/>
      <c r="J15" s="152"/>
    </row>
    <row r="16" spans="1:10" ht="15" thickBot="1">
      <c r="A16" s="157"/>
      <c r="B16" s="151"/>
      <c r="C16" s="153"/>
      <c r="D16" s="153"/>
      <c r="E16" s="153"/>
      <c r="F16" s="153"/>
      <c r="G16" s="153"/>
      <c r="H16" s="153"/>
      <c r="I16" s="155"/>
      <c r="J16" s="153"/>
    </row>
    <row r="17" spans="1:10" ht="26.25" thickBot="1">
      <c r="A17" s="159"/>
      <c r="B17" s="127" t="s">
        <v>140</v>
      </c>
      <c r="C17" s="129"/>
      <c r="D17" s="129"/>
      <c r="E17" s="129"/>
      <c r="F17" s="129"/>
      <c r="G17" s="129"/>
      <c r="H17" s="129"/>
      <c r="I17" s="129"/>
      <c r="J17" s="128"/>
    </row>
    <row r="18" spans="1:10" ht="108.75" customHeight="1">
      <c r="A18" s="156" t="s">
        <v>141</v>
      </c>
      <c r="B18" s="156"/>
      <c r="C18" s="156"/>
      <c r="D18" s="156"/>
      <c r="E18" s="156"/>
      <c r="F18" s="156"/>
      <c r="G18" s="156"/>
      <c r="H18" s="156"/>
      <c r="I18" s="156"/>
      <c r="J18" s="156"/>
    </row>
  </sheetData>
  <mergeCells count="35">
    <mergeCell ref="G15:G16"/>
    <mergeCell ref="H15:H16"/>
    <mergeCell ref="I15:I16"/>
    <mergeCell ref="J15:J16"/>
    <mergeCell ref="A18:J18"/>
    <mergeCell ref="I2:J4"/>
    <mergeCell ref="A15:A17"/>
    <mergeCell ref="A5:B5"/>
    <mergeCell ref="A6:B6"/>
    <mergeCell ref="A2:B4"/>
    <mergeCell ref="G7:G8"/>
    <mergeCell ref="H7:H8"/>
    <mergeCell ref="I7:I8"/>
    <mergeCell ref="A9:A11"/>
    <mergeCell ref="A12:A14"/>
    <mergeCell ref="B15:B16"/>
    <mergeCell ref="C15:C16"/>
    <mergeCell ref="D15:D16"/>
    <mergeCell ref="E15:E16"/>
    <mergeCell ref="F15:F16"/>
    <mergeCell ref="A7:A8"/>
    <mergeCell ref="B7:B8"/>
    <mergeCell ref="C7:C8"/>
    <mergeCell ref="D7:D8"/>
    <mergeCell ref="E7:E8"/>
    <mergeCell ref="F7:F8"/>
    <mergeCell ref="C5:E5"/>
    <mergeCell ref="F5:H5"/>
    <mergeCell ref="I5:J5"/>
    <mergeCell ref="C6:E6"/>
    <mergeCell ref="F6:H6"/>
    <mergeCell ref="I6:J6"/>
    <mergeCell ref="A1:J1"/>
    <mergeCell ref="C2:E4"/>
    <mergeCell ref="F2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2823480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Orçamentaria</vt:lpstr>
      <vt:lpstr>COMPOSIÇÕES IFAL</vt:lpstr>
      <vt:lpstr>Memorial de cálculo</vt:lpstr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IFAL</cp:lastModifiedBy>
  <cp:revision>347</cp:revision>
  <cp:lastPrinted>2016-03-09T21:45:22Z</cp:lastPrinted>
  <dcterms:created xsi:type="dcterms:W3CDTF">2015-04-20T13:50:03Z</dcterms:created>
  <dcterms:modified xsi:type="dcterms:W3CDTF">2019-10-10T12:17:51Z</dcterms:modified>
</cp:coreProperties>
</file>