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9030" tabRatio="607" activeTab="0"/>
  </bookViews>
  <sheets>
    <sheet name="ADITIVO - PLANILHA ORÇAMETARIA " sheetId="1" r:id="rId1"/>
    <sheet name="COMPOSIÇÕES" sheetId="2" r:id="rId2"/>
    <sheet name="Plan1" sheetId="3" state="hidden" r:id="rId3"/>
    <sheet name="CRONOGRAMA" sheetId="4" r:id="rId4"/>
    <sheet name="Memória de Calculo" sheetId="5" r:id="rId5"/>
  </sheets>
  <definedNames>
    <definedName name="_xlnm.Print_Area" localSheetId="0">'ADITIVO - PLANILHA ORÇAMETARIA '!$B$1:$I$221</definedName>
    <definedName name="_xlnm.Print_Area" localSheetId="1">'COMPOSIÇÕES'!$A$1:$F$460</definedName>
    <definedName name="_xlnm.Print_Area" localSheetId="3">'CRONOGRAMA'!$A$1:$O$49</definedName>
    <definedName name="_xlnm.Print_Area" localSheetId="4">'Memória de Calculo'!$A$1:$F$125</definedName>
    <definedName name="Print_Area_0" localSheetId="0">'ADITIVO - PLANILHA ORÇAMETARIA '!$B$1:$H$221</definedName>
    <definedName name="Print_Area_0" localSheetId="1">'COMPOSIÇÕES'!$A$1:$F$288</definedName>
    <definedName name="Print_Area_0" localSheetId="3">'CRONOGRAMA'!$A$1:$O$50</definedName>
    <definedName name="Print_Area_0_0" localSheetId="0">'ADITIVO - PLANILHA ORÇAMETARIA '!$B$1:$H$221</definedName>
    <definedName name="Print_Area_0_0" localSheetId="1">'COMPOSIÇÕES'!$A$1:$F$276</definedName>
    <definedName name="Print_Area_0_0" localSheetId="3">'CRONOGRAMA'!$A$1:$O$49</definedName>
    <definedName name="Print_Area_0_0_0" localSheetId="0">'ADITIVO - PLANILHA ORÇAMETARIA '!$B$1:$H$221</definedName>
    <definedName name="Print_Area_0_0_0" localSheetId="1">'COMPOSIÇÕES'!$A$1:$F$267</definedName>
    <definedName name="Print_Area_0_0_0" localSheetId="3">'CRONOGRAMA'!$A$1:$O$49</definedName>
    <definedName name="Print_Area_0_0_0_0" localSheetId="0">'ADITIVO - PLANILHA ORÇAMETARIA '!$B$1:$H$221</definedName>
    <definedName name="Print_Area_0_0_0_0" localSheetId="1">'COMPOSIÇÕES'!$A$1:$F$267</definedName>
    <definedName name="Print_Area_0_0_0_0" localSheetId="3">'CRONOGRAMA'!$A$1:$O$49</definedName>
    <definedName name="Print_Area_0_0_0_0_0" localSheetId="0">'ADITIVO - PLANILHA ORÇAMETARIA '!$B$1:$H$221</definedName>
    <definedName name="Print_Area_0_0_0_0_0" localSheetId="1">'COMPOSIÇÕES'!$A$1:$F$267</definedName>
    <definedName name="Print_Area_0_0_0_0_0" localSheetId="3">'CRONOGRAMA'!$A$1:$O$49</definedName>
    <definedName name="Print_Area_0_0_0_0_0_0" localSheetId="0">'ADITIVO - PLANILHA ORÇAMETARIA '!$B$1:$H$221</definedName>
    <definedName name="Print_Area_0_0_0_0_0_0" localSheetId="1">'COMPOSIÇÕES'!$A$1:$F$267</definedName>
    <definedName name="Print_Area_0_0_0_0_0_0" localSheetId="3">'CRONOGRAMA'!$A$1:$O$49</definedName>
    <definedName name="Print_Area_0_0_0_0_0_0_0" localSheetId="0">'ADITIVO - PLANILHA ORÇAMETARIA '!$B$1:$H$221</definedName>
    <definedName name="Print_Area_0_0_0_0_0_0_0" localSheetId="1">'COMPOSIÇÕES'!$A$1:$F$267</definedName>
    <definedName name="Print_Area_0_0_0_0_0_0_0" localSheetId="3">'CRONOGRAMA'!$A$1:$O$49</definedName>
    <definedName name="Print_Area_0_0_0_0_0_0_0_0" localSheetId="0">'ADITIVO - PLANILHA ORÇAMETARIA '!$B$1:$H$221</definedName>
    <definedName name="Print_Area_0_0_0_0_0_0_0_0" localSheetId="1">'COMPOSIÇÕES'!$A$1:$F$267</definedName>
    <definedName name="Print_Area_0_0_0_0_0_0_0_0" localSheetId="3">'CRONOGRAMA'!$A$1:$O$49</definedName>
    <definedName name="Print_Area_0_0_0_0_0_0_0_0_0" localSheetId="0">'ADITIVO - PLANILHA ORÇAMETARIA '!$B$1:$H$221</definedName>
    <definedName name="Print_Area_0_0_0_0_0_0_0_0_0" localSheetId="1">'COMPOSIÇÕES'!$A$1:$F$267</definedName>
    <definedName name="Print_Area_0_0_0_0_0_0_0_0_0" localSheetId="3">'CRONOGRAMA'!$A$1:$O$49</definedName>
    <definedName name="Print_Area_0_0_0_0_0_0_0_0_0_0" localSheetId="0">'ADITIVO - PLANILHA ORÇAMETARIA '!$B$1:$H$221</definedName>
    <definedName name="Print_Area_0_0_0_0_0_0_0_0_0_0" localSheetId="1">'COMPOSIÇÕES'!$A$1:$F$267</definedName>
    <definedName name="Print_Area_0_0_0_0_0_0_0_0_0_0" localSheetId="3">'CRONOGRAMA'!$A$1:$O$49</definedName>
  </definedNames>
  <calcPr fullCalcOnLoad="1"/>
</workbook>
</file>

<file path=xl/sharedStrings.xml><?xml version="1.0" encoding="utf-8"?>
<sst xmlns="http://schemas.openxmlformats.org/spreadsheetml/2006/main" count="3818" uniqueCount="1859">
  <si>
    <t>SERVIÇO PÚBLICO FEDERAL</t>
  </si>
  <si>
    <t>Secretaria de Educação Profissional e Tecnológica</t>
  </si>
  <si>
    <t>Instituto Federal de Alagoas – Campus Maceió</t>
  </si>
  <si>
    <t>Departamento de Administração e Manutenção</t>
  </si>
  <si>
    <t>PLANILHA ORÇAMENTÁRIA</t>
  </si>
  <si>
    <t>Comparação com item da planilha do contrato</t>
  </si>
  <si>
    <t>ITEM</t>
  </si>
  <si>
    <t>Fonte</t>
  </si>
  <si>
    <t xml:space="preserve">DESCRIÇÃO </t>
  </si>
  <si>
    <t>Unidade</t>
  </si>
  <si>
    <t>Quant.</t>
  </si>
  <si>
    <t>Preço Unitário</t>
  </si>
  <si>
    <t>Preço total</t>
  </si>
  <si>
    <t>1.0</t>
  </si>
  <si>
    <t>PROJETOS</t>
  </si>
  <si>
    <t>1.1</t>
  </si>
  <si>
    <t>Composição 11</t>
  </si>
  <si>
    <t>Projeto Executivo de coberta em estrutura metálica</t>
  </si>
  <si>
    <t>unid.</t>
  </si>
  <si>
    <t>2.0</t>
  </si>
  <si>
    <t>SERVIÇOS PRELIMINARES/TÉCNICOS</t>
  </si>
  <si>
    <t>2.1</t>
  </si>
  <si>
    <t>Instalação de Canteiro</t>
  </si>
  <si>
    <t>2.1.1</t>
  </si>
  <si>
    <t>742091/SINAPI</t>
  </si>
  <si>
    <t>Placa de obra em chapa de aco galvanizado</t>
  </si>
  <si>
    <t>m²</t>
  </si>
  <si>
    <t>2.1.2</t>
  </si>
  <si>
    <t>Composição 02</t>
  </si>
  <si>
    <t>Mobilização e Desmobilização</t>
  </si>
  <si>
    <t>2.1.3</t>
  </si>
  <si>
    <t>Composição 04</t>
  </si>
  <si>
    <t xml:space="preserve">Compatibilização e Elaboração de Projetos "As Built" </t>
  </si>
  <si>
    <t>2.1.4</t>
  </si>
  <si>
    <t>Composição 05</t>
  </si>
  <si>
    <t>Elaboração do Plano de Gerenciamento de Resíduos da Construção Civil (PGRCC)</t>
  </si>
  <si>
    <t>2.1.5</t>
  </si>
  <si>
    <t>CREA/AL</t>
  </si>
  <si>
    <t>Anotação de Responsabilidade técnica (ART)</t>
  </si>
  <si>
    <t>2.1.7</t>
  </si>
  <si>
    <t>Composição 03</t>
  </si>
  <si>
    <t>Aluguel de Container para escritório, inclusive instalações elétrica e hidráulica, larg.: 2,20m; comp.: 6,20m; alt.: 2,50m, em chapa de aço com nervura trapezoidal, forro com isolamento térmico e acústico, chassis reforçado e piso compensado naval.</t>
  </si>
  <si>
    <t>mês</t>
  </si>
  <si>
    <t>2.1.8</t>
  </si>
  <si>
    <t>09537/SINAPI</t>
  </si>
  <si>
    <t>Limpeza final da obra</t>
  </si>
  <si>
    <t>2.2</t>
  </si>
  <si>
    <t>Demolições e remoções</t>
  </si>
  <si>
    <t>00011/ORSE</t>
  </si>
  <si>
    <t xml:space="preserve"> Demolição de telhamento com telha de cimento amianto tipo canalete</t>
  </si>
  <si>
    <t>10963/ORSE</t>
  </si>
  <si>
    <t xml:space="preserve"> Demolição de alvenaria de bloco cerâmico e=0,09m sem revestimento</t>
  </si>
  <si>
    <t>m³</t>
  </si>
  <si>
    <t>2.3</t>
  </si>
  <si>
    <t>73616/SINAPI</t>
  </si>
  <si>
    <t>Demolicao de concreto simples</t>
  </si>
  <si>
    <t>2.4</t>
  </si>
  <si>
    <t>00027/ORSE</t>
  </si>
  <si>
    <t>Demolição de concreto armado com martelete e compressor</t>
  </si>
  <si>
    <t>2.5</t>
  </si>
  <si>
    <t>08344/ORSE</t>
  </si>
  <si>
    <t>Desmontagem de Estrutura Metálica com retirada de solda e corte de peças por meio de lixadeira</t>
  </si>
  <si>
    <t>2.6</t>
  </si>
  <si>
    <t>2.7</t>
  </si>
  <si>
    <t>02497/ORSE</t>
  </si>
  <si>
    <t>Escavação manual de vala ou cava em material de 1ª categoria, profundidade até 1,50m</t>
  </si>
  <si>
    <t>2.8</t>
  </si>
  <si>
    <t>04943/ORSE</t>
  </si>
  <si>
    <t>Remoção de telhamento com telhas onduladas fibrocimento ou aluminio</t>
  </si>
  <si>
    <t>2.9</t>
  </si>
  <si>
    <t xml:space="preserve">00227/ORSE </t>
  </si>
  <si>
    <t>Remoção de estrutura metálica chumbada em concreto (alambrado, guarda-corpo)</t>
  </si>
  <si>
    <t>2.10</t>
  </si>
  <si>
    <t>03248/ORSE</t>
  </si>
  <si>
    <t>Remoção de interruptores e tomadas</t>
  </si>
  <si>
    <t>2.11</t>
  </si>
  <si>
    <t>00040/ORSE</t>
  </si>
  <si>
    <t>Remoção de luminária</t>
  </si>
  <si>
    <t>2.12</t>
  </si>
  <si>
    <t>07224/ORSE</t>
  </si>
  <si>
    <t>Remoção de quadro elétrico de embutir ou sobrepor</t>
  </si>
  <si>
    <t>2.13</t>
  </si>
  <si>
    <t>07215/ORSE</t>
  </si>
  <si>
    <t xml:space="preserve"> Remoção de metais sanitários (torneira, registros, chuveiros, etc.)</t>
  </si>
  <si>
    <t>2.14</t>
  </si>
  <si>
    <t>06406/ORSE</t>
  </si>
  <si>
    <t>Conserto de caixa de inspeção com demolição da existente</t>
  </si>
  <si>
    <t>2.15</t>
  </si>
  <si>
    <t>72897/SINAPI</t>
  </si>
  <si>
    <t>Carga manual de entulho em caminhao basculante 6 m3</t>
  </si>
  <si>
    <t>3.0</t>
  </si>
  <si>
    <t>INFRAESTRUTURA</t>
  </si>
  <si>
    <t>3.1</t>
  </si>
  <si>
    <t>92793/SINAPI</t>
  </si>
  <si>
    <t xml:space="preserve"> CORTE E DOBRA DE AÇO CA-50, DIÂMETRO DE 8.0 MM, UTILIZADO EM ESTRUTURAS DIVERSAS, EXCETO LAJES. AF_12/2015</t>
  </si>
  <si>
    <t>kg</t>
  </si>
  <si>
    <t>3.2</t>
  </si>
  <si>
    <t>94966/SINAPI</t>
  </si>
  <si>
    <t xml:space="preserve">CONCRETO FCK = 30MPA, TRAÇO 1:2,1:2,5 (CIMENTO/ AREIA MÉDIA/ BRITA 1) - PREPARO MECÂNICO COM BETONEIRA 400 L. AF_07/2016 </t>
  </si>
  <si>
    <t>3.3</t>
  </si>
  <si>
    <t>92873/SINAPI</t>
  </si>
  <si>
    <t xml:space="preserve"> LANÇAMENTO COM USO DE BALDES, ADENSAMENTO E ACABAMENTO DE CONCRETO EM ESTRUTURAS. AF_12/2015</t>
  </si>
  <si>
    <t>3.4</t>
  </si>
  <si>
    <t xml:space="preserve"> FORMA TABUA PARA CONCRETO EM FUNDACAO C/ REAPROVEITAMENTO 5X</t>
  </si>
  <si>
    <t>3.5</t>
  </si>
  <si>
    <t>ENSAIO DE RESISTENCIA A COMPRESSAO SIMPLES – CONCRETO</t>
  </si>
  <si>
    <t>und</t>
  </si>
  <si>
    <t>4.0</t>
  </si>
  <si>
    <t>SUPERESTRUTURA</t>
  </si>
  <si>
    <t>5.1</t>
  </si>
  <si>
    <t>4.1</t>
  </si>
  <si>
    <t>07085/ORSE</t>
  </si>
  <si>
    <t>Carga, transporte e descarga de material de 1ª categoria proveniente de escavação ou de depósito</t>
  </si>
  <si>
    <t>4.2</t>
  </si>
  <si>
    <t>02523/ORSE</t>
  </si>
  <si>
    <t>Aterro com areia fina, compactado mecanicamente, inclusive aquisição em depósito de material, exclusive transporte</t>
  </si>
  <si>
    <t>4.3</t>
  </si>
  <si>
    <t>Composição 01</t>
  </si>
  <si>
    <t>4.4</t>
  </si>
  <si>
    <t>92786/SINAPI</t>
  </si>
  <si>
    <t xml:space="preserve"> Armação de laje de uma estrutura convencional de concreto armado em uma edifícação térrea ou sobrado utilizando aço ca-50 de 8.0 mm - montagem. af_12/2015_p</t>
  </si>
  <si>
    <t>4.5</t>
  </si>
  <si>
    <t>91601/SINAPI</t>
  </si>
  <si>
    <t>Armação do sistema de paredes de concreto, executada como reforço, vergalhão de 6,3 mm de diâmetro. af_06/2015</t>
  </si>
  <si>
    <t>4.6</t>
  </si>
  <si>
    <t>03346/ORSE</t>
  </si>
  <si>
    <t>Concreto simples usinado fck=30mpa, bombeado, lançado e adensado em superestrutura</t>
  </si>
  <si>
    <t>4.7</t>
  </si>
  <si>
    <t>09291/ORSE</t>
  </si>
  <si>
    <t>Desmontagem de forma</t>
  </si>
  <si>
    <t>4.8</t>
  </si>
  <si>
    <t>93204/SINAPI</t>
  </si>
  <si>
    <t>CINTA DE AMARRAÇÃO DE ALVENARIA MOLDADA IN LOCO EM CONCRETO. AF_03/2016</t>
  </si>
  <si>
    <t>m</t>
  </si>
  <si>
    <t>4.9</t>
  </si>
  <si>
    <t>Composição 24</t>
  </si>
  <si>
    <t>PILAR DE AMARRAÇÃO DE ALVENARIA MOLDADO IN LOCO EM CONCRETO DE 0,15X0,20</t>
  </si>
  <si>
    <t>4.10</t>
  </si>
  <si>
    <t>Composição 25</t>
  </si>
  <si>
    <t>Preparo de substrato por escarificação manual (corte de concreto) até 3,0cm de profundidade</t>
  </si>
  <si>
    <t>4.11</t>
  </si>
  <si>
    <t>Composição 26</t>
  </si>
  <si>
    <t>Aplicação de adesivo estrutural base resina epoxi, Compound Adesivo, Vedacit ou similar, aplicação em chumbamento e colagem dos mais diversos materiais de construção</t>
  </si>
  <si>
    <t>4.12</t>
  </si>
  <si>
    <t>CORTE E DOBRA DE AÇO CA-50, DIÂMETRO DE 8.0 MM, UTILIZADO EM ESTRUTURAS DIVERSAS, EXCETO LAJES. AF_12/2015</t>
  </si>
  <si>
    <t>4.13</t>
  </si>
  <si>
    <t>92794/SINAPI</t>
  </si>
  <si>
    <t>CORTE E DOBRA DE AÇO CA-50, DIÂMETRO DE 10.0 MM, UTILIZADO EM ESTRUTURAS DIVERSAS, EXCETO LAJES. AF_12/2015</t>
  </si>
  <si>
    <t>4.14</t>
  </si>
  <si>
    <t>92791/SINAPI</t>
  </si>
  <si>
    <t>CORTE E DOBRA DE AÇO CA-60, DIÂMETRO DE 5.0 MM, UTILIZADO EM ESTRUTURAS DIVERSAS, EXCETO LAJES. AF_12/2015</t>
  </si>
  <si>
    <t>4.15</t>
  </si>
  <si>
    <t>92410/SINAPI</t>
  </si>
  <si>
    <t xml:space="preserve"> MONTAGEM E DESMONTAGEM DE FÔRMA DE PILARES RETANGULARES E ESTRUTURAS SIMILARES COM ÁREA MÉDIA DAS SEÇÕES MENOR OU IGUAL A 0,25 M², PÉ-DIREITO SIMPLES, EM MADEIRA SERRADA, 2 UTILIZAÇÕES. AF_12/2015</t>
  </si>
  <si>
    <t>4.19</t>
  </si>
  <si>
    <t>4.16</t>
  </si>
  <si>
    <t xml:space="preserve"> ESTRUTURA TIPO ESPACIAL EM ALUMINIO ANODIZADO, VAO DE 20M</t>
  </si>
  <si>
    <t>4.17</t>
  </si>
  <si>
    <t>Composição 30</t>
  </si>
  <si>
    <t>TELHAMENTO COM TELHA DE ACO ZINCADO TRAPEZOIDAL AUTOPORTANTE, A = 120 MM, E = 0,95 MM, COM PINTURA ELETROSTATICA BRANCA EM 1 FACE, COM ATÉ 2 ÁGUAS, INCLUSO IÇAMENTO. AF_06/2016</t>
  </si>
  <si>
    <t>4.18</t>
  </si>
  <si>
    <t>94231/SINAPI</t>
  </si>
  <si>
    <t xml:space="preserve"> RUFO EM CHAPA DE AÇO GALVANIZADO NÚMERO 24, CORTE DE 25 CM, INCLUSO TRANSPORTE VERTICAL. AF_06/2016</t>
  </si>
  <si>
    <t>INSTALAÇÕES ELÉTRICAS</t>
  </si>
  <si>
    <t>91927/SINAPI</t>
  </si>
  <si>
    <t>Cabo de cobre flexível isolado, 2,5 mm², anti-chama 0,6/1,0 kv, para circuitos terminais - fornecimento e instalação. af_12/2015 - Azul</t>
  </si>
  <si>
    <t>Cabo de cobre flexível isolado, 2,5 mm², anti-chama 0,6/1,0 kv, para circuitos terminais - fornecimento e instalação. af_12/2015 - Vermelho</t>
  </si>
  <si>
    <t>Cabo de cobre flexível isolado, 2,5 mm², anti-chama 0,6/1,0 kv, para circuitos terminais - fornecimento e instalação. af_12/2015 - Verde</t>
  </si>
  <si>
    <t>92984/SINAPI</t>
  </si>
  <si>
    <t>Cabo de cobre flexível isolado, 25 mm², anti-chama 0,6/1,0 kv, para distribuição - fornecimento e instalação. af_12/2015 - Vermelho</t>
  </si>
  <si>
    <t>Cabo de cobre flexível isolado, 25 mm², anti-chama 0,6/1,0 kv, para distribuição - fornecimento e instalação. af_12/2015 - Verde</t>
  </si>
  <si>
    <t>Cabo de cobre flexível isolado, 25 mm², anti-chama 0,6/1,0 kv, para distribuição - fornecimento e instalação. af_12/2015 - Azul</t>
  </si>
  <si>
    <t>Composição 14</t>
  </si>
  <si>
    <t>Fornecimento e Instalação de Perfilado metálico perfurado 38 x 38 x 6000mm, chapa 16</t>
  </si>
  <si>
    <t>Composição 13</t>
  </si>
  <si>
    <t>Fornecimento e Instalação de Junção interna tipo "I" para perfilado 38x38mm</t>
  </si>
  <si>
    <t>00711/ORSE</t>
  </si>
  <si>
    <t>Fornecimento e instalação de tampa cega (espelho liso) para caixa 4" x 2"</t>
  </si>
  <si>
    <t>Abraçadeira PVC condulete top 3/4"</t>
  </si>
  <si>
    <t>00362/ORSE</t>
  </si>
  <si>
    <t>4.20</t>
  </si>
  <si>
    <t>Composição 15</t>
  </si>
  <si>
    <t xml:space="preserve">Fornecimento e Instalação de Caixa de sobrepor 5 entradas, tipo Condulete pvc rigido, p/eletroduto d = 1/2" e 3/4" , sem tampa </t>
  </si>
  <si>
    <t>4.21</t>
  </si>
  <si>
    <t>09922/ORSE</t>
  </si>
  <si>
    <t>Tomada 2p + t, ABNT, de sobrepor, 10 A</t>
  </si>
  <si>
    <t>4.22</t>
  </si>
  <si>
    <t>4.23</t>
  </si>
  <si>
    <t>10620/ORSE</t>
  </si>
  <si>
    <t>Parafuso com bucha S-8</t>
  </si>
  <si>
    <t>4.24</t>
  </si>
  <si>
    <t>00685/ORSE</t>
  </si>
  <si>
    <t>Fornecimento e instalação de parafuso cabeça lentilha 3/8" x 3/4" (ref. vl 1.68 valemam ou similar)</t>
  </si>
  <si>
    <t>4.25</t>
  </si>
  <si>
    <t>00721/ORSE</t>
  </si>
  <si>
    <t>Fornecimento e instalação de porca sextavada 3/8" (ref vl 1.55 valemam ou similar)</t>
  </si>
  <si>
    <t>4.26</t>
  </si>
  <si>
    <t>09816/ORSE</t>
  </si>
  <si>
    <t>Arruela lisa zincada d=3/8"</t>
  </si>
  <si>
    <t>4.27</t>
  </si>
  <si>
    <t>07271/ORSE</t>
  </si>
  <si>
    <t>Poste de aço galvanizado cônico contíno reto, diâmetro superior de 60mm, diâmetro da base 126mm, altura total 8m, Conipost ref. Série A0008/classe 30 da Conipost ou similar</t>
  </si>
  <si>
    <t>4.28</t>
  </si>
  <si>
    <t>11626/ORSE</t>
  </si>
  <si>
    <t>Refletor LED Ultra 500W, chip Led CREE drive MEANWELL Proteção IP67, Voltagem AC 100-240V, temp de cor branco frio 5000K, vida útil 60.000h, da Leox ou similar</t>
  </si>
  <si>
    <t>4.29</t>
  </si>
  <si>
    <t>4.30</t>
  </si>
  <si>
    <t>4.31</t>
  </si>
  <si>
    <t>4.32</t>
  </si>
  <si>
    <t>08633/ORSE</t>
  </si>
  <si>
    <t>Disjuntor termomagnetico monopolar 10 A, padrão DIN (linha branca) curva de disparo B, corrente de interrupção 5KA, ref.: Siemens 5 SX1 ou similar.</t>
  </si>
  <si>
    <t>4.33</t>
  </si>
  <si>
    <t>08306/ORSE</t>
  </si>
  <si>
    <t>Disjuntor termomagnetico monopolar 20 A, padrão DIN (Europeu - linha branca), curva B, corrente 5KA</t>
  </si>
  <si>
    <t>4.34</t>
  </si>
  <si>
    <t>Composição 20</t>
  </si>
  <si>
    <t>Fornecimento de instalação de Disjuntor tripolar 63 A, padrão DIN ( linha branca ), curva de disparo C, corrente de interrupção 5KA, ref.: Siemens 5SX1 ou similar.</t>
  </si>
  <si>
    <t>5.0</t>
  </si>
  <si>
    <t>INSTALAÇÕES HIDRÁULICAS E SANITÁRIAS</t>
  </si>
  <si>
    <t>01035/ORSE</t>
  </si>
  <si>
    <t>Tubo pvc rígido soldável marrom p/ água, d = 110 mm (4")</t>
  </si>
  <si>
    <t>5.2</t>
  </si>
  <si>
    <t>01033/ORSE</t>
  </si>
  <si>
    <t>Tubo pvc rígido soldável marrom p/ água, d = 75 mm (2 1/2")</t>
  </si>
  <si>
    <t>5.3</t>
  </si>
  <si>
    <t>01032/ORSE</t>
  </si>
  <si>
    <t>Tubo pvc rígido soldável marrom p/ água, d = 60 mm (2")</t>
  </si>
  <si>
    <t>5.4</t>
  </si>
  <si>
    <t>01028/ORSE</t>
  </si>
  <si>
    <t>Tubo pvc rígido soldável marrom p/ água, d = 25 mm (3/4")</t>
  </si>
  <si>
    <t>5.5</t>
  </si>
  <si>
    <t>01124/ORSE</t>
  </si>
  <si>
    <t>Curva 90º de pvc rígido soldável, marrom diâm = 110mm</t>
  </si>
  <si>
    <t>5.6</t>
  </si>
  <si>
    <t>01122/ORSE</t>
  </si>
  <si>
    <t>Curva 90º de pvc rígido soldável, marrom diâm = 75mm</t>
  </si>
  <si>
    <t>5.7</t>
  </si>
  <si>
    <t xml:space="preserve">01121/ORSE </t>
  </si>
  <si>
    <t>Curva 90º de pvc rígido soldável, marrom diâm = 60mm</t>
  </si>
  <si>
    <t>5.8</t>
  </si>
  <si>
    <t>01135/ORSE</t>
  </si>
  <si>
    <t>Joelho 90º de pvc rígido soldável, marrom diâm = 25mm</t>
  </si>
  <si>
    <t>5.9</t>
  </si>
  <si>
    <t>01115/ORSE</t>
  </si>
  <si>
    <t>Curva 45º de pvc rígido soldável, marrom diâm = 110mm</t>
  </si>
  <si>
    <t>5.10</t>
  </si>
  <si>
    <t>01113/ORSE</t>
  </si>
  <si>
    <t>Curva 45º de pvc rígido soldável, marrom diâm = 75mm</t>
  </si>
  <si>
    <t>5.11</t>
  </si>
  <si>
    <t>01112/ORSE</t>
  </si>
  <si>
    <t>Curva 45º de pvc rígido soldável, marrom diâm = 60mm</t>
  </si>
  <si>
    <t>5.12</t>
  </si>
  <si>
    <t>01175/ORSE</t>
  </si>
  <si>
    <t>Tê 90º de pvc rígido soldável, marrom diâm = 110mm</t>
  </si>
  <si>
    <t>5.13</t>
  </si>
  <si>
    <t>01173/ORSE</t>
  </si>
  <si>
    <t>Tê 90º de pvc rígido soldável, marrom diâm = 75mm</t>
  </si>
  <si>
    <t>5.14</t>
  </si>
  <si>
    <t>01172/ORSE</t>
  </si>
  <si>
    <t>Tê 90º de pvc rígido soldável, marrom diâm = 60mm</t>
  </si>
  <si>
    <t>5.15</t>
  </si>
  <si>
    <t>01168/ORSE</t>
  </si>
  <si>
    <t>Tê 90º de pvc rígido soldável, marrom diâm = 25mm</t>
  </si>
  <si>
    <t>5.16</t>
  </si>
  <si>
    <t>Composição 16</t>
  </si>
  <si>
    <t xml:space="preserve">Fornecimento e Instalação de Adaptador pvc soldavel curto com bolsa e rosca, 110 mm x 4", para agua fria </t>
  </si>
  <si>
    <t>5.17</t>
  </si>
  <si>
    <t>Composição 17</t>
  </si>
  <si>
    <t xml:space="preserve">Fornecimento e Instalação de Adaptador pvc soldavel curto com bolsa e rosca, 60 mm x 2", para agua fria </t>
  </si>
  <si>
    <t>5.18</t>
  </si>
  <si>
    <t>Composição 19</t>
  </si>
  <si>
    <t xml:space="preserve">Fornecimento e Instalação de Adaptador pvc soldavel curto com bolsa e rosca, 25 mm x 3/4", para agua fria </t>
  </si>
  <si>
    <t>5.19</t>
  </si>
  <si>
    <t>01092/ORSE</t>
  </si>
  <si>
    <t>Bucha de redução longa de pvc rígido soldável, marrom, diâm = 110 x 75mm</t>
  </si>
  <si>
    <t>5.20</t>
  </si>
  <si>
    <t>01088/ORSE</t>
  </si>
  <si>
    <t>Bucha de redução longa de pvc rígido soldável, marrom, diâm = 60 x 50mm</t>
  </si>
  <si>
    <t>5.21</t>
  </si>
  <si>
    <t>01076/ORSE</t>
  </si>
  <si>
    <t>Bucha de redução curta de pvc rígido soldável, marrom, diâm = 75 x 60mm</t>
  </si>
  <si>
    <t>5.22</t>
  </si>
  <si>
    <t>01198/ORSE</t>
  </si>
  <si>
    <t>União de pvc rígido soldável, marrom diâm = 110mm, p/ água</t>
  </si>
  <si>
    <t>5.23</t>
  </si>
  <si>
    <t>01195/ORSE</t>
  </si>
  <si>
    <t>União de pvc rígido soldável, marrom diâm = 60mm, p/ água</t>
  </si>
  <si>
    <t>5.24</t>
  </si>
  <si>
    <t>Composição 18</t>
  </si>
  <si>
    <t>Fornecimento e Instalação de Joelho pvc, soldavel, com bucha de latao, 90 graus, 25 mm x1/2", para agua fria</t>
  </si>
  <si>
    <t>5.25</t>
  </si>
  <si>
    <t>5.26</t>
  </si>
  <si>
    <t>01466/ORSE</t>
  </si>
  <si>
    <t>Registro gaveta c/ canopla cromada, d=25mm (1") - ref.1509 Deca ou similar</t>
  </si>
  <si>
    <t>5.27</t>
  </si>
  <si>
    <t>5.28</t>
  </si>
  <si>
    <t>Composição 21</t>
  </si>
  <si>
    <t>5.29</t>
  </si>
  <si>
    <t>89713/SINAPI</t>
  </si>
  <si>
    <t>Tubo pvc, serie normal, esgoto predial, dn 75 mm, fornecido e instalado em ramal de descarga ou ramal de esgoto sanitário. af_12/2014</t>
  </si>
  <si>
    <t>5.30</t>
  </si>
  <si>
    <t>89712/SINAPI</t>
  </si>
  <si>
    <t>Tubo pvc, serie normal, esgoto predial, dn 50 mm, fornecido e instalado em ramal de descarga ou ramal de esgoto sanitário. af_12/2014</t>
  </si>
  <si>
    <t>5.31</t>
  </si>
  <si>
    <t>01463/ORSE</t>
  </si>
  <si>
    <t>Registro gaveta bruto, d =100 mm (4") - ref.1502-B, Pn16, Deca ou similar</t>
  </si>
  <si>
    <t>5.32</t>
  </si>
  <si>
    <t>01461/ORSE</t>
  </si>
  <si>
    <t>Registro gaveta bruto, d = 65 mm (2 1/2") - ref.1502-B, Pn16, Deca ou similar</t>
  </si>
  <si>
    <t>5.33</t>
  </si>
  <si>
    <t>7379513/SINAPI</t>
  </si>
  <si>
    <t>Válvula de retenção horizontal ø 65mm (2.1/2") - fornecimento e instalação</t>
  </si>
  <si>
    <t>5.34</t>
  </si>
  <si>
    <t>Composição 07</t>
  </si>
  <si>
    <t>Fornecimento e Instalação de Conjunto de Equipamentos hidráulicos com Filtro, Areia, Pré-Filtro e Bomba, modelo 42FC7-T da Jacuzzi ou Tecnicamente Equivalente</t>
  </si>
  <si>
    <t>Cj</t>
  </si>
  <si>
    <t>5.35</t>
  </si>
  <si>
    <t>Composição 08</t>
  </si>
  <si>
    <t>Fornecimento e Instalação de Dispositivo de Retorno de 2", com corpo feito de latão ou bronze, acabamento cromado e ajuste de vazão.</t>
  </si>
  <si>
    <t>5.36</t>
  </si>
  <si>
    <t>Composição 09</t>
  </si>
  <si>
    <t>Fornecimento e Instalação de Dispositivo de Aspiração de 2", com corpo feito de latão ou bronze e acabamento cromado.</t>
  </si>
  <si>
    <t>Composição 10</t>
  </si>
  <si>
    <t>Fornecimento e Instalação de Coadeira Boca Larga feita em resina termoplástica ABS e com saída para acoplamento de aspiração.</t>
  </si>
  <si>
    <t>5.38</t>
  </si>
  <si>
    <t>6.0</t>
  </si>
  <si>
    <t>ALVENARIA</t>
  </si>
  <si>
    <t>6.1</t>
  </si>
  <si>
    <t>Arquibancada</t>
  </si>
  <si>
    <t>00151/ORSE</t>
  </si>
  <si>
    <t>Alvenaria bloco cerâmico vedação, 9x19x24cm, e=9cm, com argamassa t5 - 1:2:8 (cimento/cal/areia), junta=2cm</t>
  </si>
  <si>
    <t>87377/SINAPI</t>
  </si>
  <si>
    <t>Argamassa traço 1:3 (cimento e areia grossa) para chapisco convencional, preparo manual. af_06/2014</t>
  </si>
  <si>
    <t>7.0</t>
  </si>
  <si>
    <t>REVESTIMENTO</t>
  </si>
  <si>
    <t>7.1</t>
  </si>
  <si>
    <t>7.1.1</t>
  </si>
  <si>
    <t>03318/ORSE</t>
  </si>
  <si>
    <t>Reboco especial de parede 2cm com argamassa traço t3 - 1:3 cimento / areia / vedacit</t>
  </si>
  <si>
    <t>7.2</t>
  </si>
  <si>
    <t>Deck</t>
  </si>
  <si>
    <t>Fornecimento e Instalação de Placa Cimentícia Atérmica e Antiderrapante - Cinza</t>
  </si>
  <si>
    <t>Fornecimento e Instalação de borda cimentícia atérmica e antiderrapante modelo peito de pomba - Cinza</t>
  </si>
  <si>
    <t>07946/ORSE</t>
  </si>
  <si>
    <t>Fornecimento e Instalação de Ralo Linear</t>
  </si>
  <si>
    <t>07324/ORSE</t>
  </si>
  <si>
    <t xml:space="preserve"> Piso tátil direcional e/ou alerta, de concreto, colorido, p/deficientes visuais, dimensões 25x25cm, aplicado com argamassa industrializada ac-ii, rejuntado, exclusive regularização de base</t>
  </si>
  <si>
    <t>Composição 22</t>
  </si>
  <si>
    <t>Revestimento cerâmico para parede, 15 x 15 cm, azulejo azul claro, tipo "A", aplicado com argamassa industrializada ac-i, rejuntado, exclusive emboço</t>
  </si>
  <si>
    <t>REVESTIMENTO CERÂMICO PARA PAREDES EXTERNAS EM PASTILHAS DE PORCELANA 2,5 X 2,5 CM (PLACAS DE 30 X 30 CM), ALINHADAS A PRUMO, APLICADO EM PANOS SEM VÃOS. AF_10/2014</t>
  </si>
  <si>
    <t>8.0</t>
  </si>
  <si>
    <t>PINTURA</t>
  </si>
  <si>
    <t>8.1</t>
  </si>
  <si>
    <t>8.1.1</t>
  </si>
  <si>
    <t>03833/ORSE</t>
  </si>
  <si>
    <t>Pintura com 02 demãos de tinta epoxi - Norma 1198-II</t>
  </si>
  <si>
    <t>02296/ORSE</t>
  </si>
  <si>
    <t>Pintura para exteriores, sobre paredes, com lixamento, aplicação de 01 demão de selador acrílico, 01 demão de textura acrílica branca e 02 demãos de tinta acrílica convencional</t>
  </si>
  <si>
    <t>9.0</t>
  </si>
  <si>
    <t>SERVIÇOS COMPLEMENTARES</t>
  </si>
  <si>
    <t>9.1</t>
  </si>
  <si>
    <t>9.1.1</t>
  </si>
  <si>
    <t>08759/ORSE</t>
  </si>
  <si>
    <t>Corrimão em aço inox ø=1 1/2", duplo, h=90cm</t>
  </si>
  <si>
    <t>9.1.2</t>
  </si>
  <si>
    <t>738061/SINAPI</t>
  </si>
  <si>
    <t>Limpeza de superficies com jato de alta pressao de ar e agua</t>
  </si>
  <si>
    <t>04918/ORSE</t>
  </si>
  <si>
    <t>Preparo de substrato por escarificação mecânica (corte de concreto) para espessuras acima de 3,0cm e até 6,0cm</t>
  </si>
  <si>
    <t>07692/ORSE</t>
  </si>
  <si>
    <t>Lançamento de concreto simples fabricado na obra, inclusive adensamento e acabamento em peças da superestrutura</t>
  </si>
  <si>
    <t>08986/ORSE</t>
  </si>
  <si>
    <t>Estrutura metálica em aço sac 300, vãos de até 12m</t>
  </si>
  <si>
    <t>738651/SINAPI</t>
  </si>
  <si>
    <t>Fundo preparador primer a base de epoxi, para estrutura metalica, uma demao, espessura de 25 micra.</t>
  </si>
  <si>
    <t>94213/SINAPI</t>
  </si>
  <si>
    <t>Telhamento com telha de aço/alumínio e = 0,5 mm, com até 2 águas, incluso içamento. af_06/2016</t>
  </si>
  <si>
    <t>11621/ORSE</t>
  </si>
  <si>
    <t>Fita auto adesiva fotoluminescente "9m" l=2,5cm ou similar</t>
  </si>
  <si>
    <t>Composição 28</t>
  </si>
  <si>
    <t>Tela de aço galvanizado fio 10 bwg, malha 1", ondulada, quadrada, fixada em moldura constituída de barra chata de 1 1/2 x ¼"</t>
  </si>
  <si>
    <t>9.2</t>
  </si>
  <si>
    <t>Composição 23</t>
  </si>
  <si>
    <t>Banco de concreto resinado com apoios em alvenaria 1,5m x 0,45m</t>
  </si>
  <si>
    <t>Composição 29</t>
  </si>
  <si>
    <t>RECUPERAÇÃO DE GRADE DE FERRO INCLUSIVE PINTURA</t>
  </si>
  <si>
    <t>Composição 31</t>
  </si>
  <si>
    <t>CONSTRUÇÃO DE PÓDIO COM TRÊS PATAMARES DE 1,9 X 1,6 CADA, CONFORME PROJETO ARQUITETÔNICO, ACABAMENTO EM CONCRETO</t>
  </si>
  <si>
    <t>10.0</t>
  </si>
  <si>
    <t>GERENCIAMENTO DE OBRA</t>
  </si>
  <si>
    <t>10.1</t>
  </si>
  <si>
    <t>Composição 6</t>
  </si>
  <si>
    <t>Administração Local e Manutenção do Canteiro</t>
  </si>
  <si>
    <t>11.0</t>
  </si>
  <si>
    <t>IMPERMEABILIZAÇÃO</t>
  </si>
  <si>
    <t>11.1</t>
  </si>
  <si>
    <t xml:space="preserve"> IMPERMEABILIZACAO DE SUPERFICIE COM MANTA ASFALTICA (COM POLIMEROS TIPO APP), E=4 MM</t>
  </si>
  <si>
    <t>Composição 27</t>
  </si>
  <si>
    <t>Proteção mecânica, espessura de 30mm, estruturada com tela soldada de malha quadrada 50mm x 50mm e fio galvanizado com diâmetro de 1,65mm</t>
  </si>
  <si>
    <t>13.0</t>
  </si>
  <si>
    <t>EQUIPAMENTOS</t>
  </si>
  <si>
    <t>13.1</t>
  </si>
  <si>
    <t>Composição 12</t>
  </si>
  <si>
    <t>Fornecimento e Instalação de Bloco de Saída com estrutura manufaturado em resina plástica de alta resistência, com plataforma feita em aço inox de liga especial 304L, com superfície antiderrapante. O bloco de saída deve ter plataforma com inclinação de 06º, 45cm de altura frontal em relação ao solo, 55cm de altura traseira em relação ao solo, base de apoio no solo nas medidas 53cm de largura por 34cm de comprimento e 06 pontos de fixação para parafusos de inox 3/8". A plataforma de apoio deve ter 50cm de largura por 75cm de comprimento, feita com superfície antiderrapante extremamente aderente e pintura eletrostática. Possui ainda uma rampa de apoio para o pé traseiro feita em aço inox com ângulo de 150º em relação a plataforma de apoio do bloco, nas medidas 50cm de comprimento por 22cm de altura. Esta rampa deve ser deslizante e possuir ao menos 5 níveis de ajuste, para se adaptar a atletas de diferentes alturas. O bloco de saída deve conter ainda numeração nos 4 lados e ser personalizada com as cores e logo deste Instituto Federal.</t>
  </si>
  <si>
    <t>____________________________________</t>
  </si>
  <si>
    <t>'</t>
  </si>
  <si>
    <t>Rodrigo Fontan Arruda Cedrim</t>
  </si>
  <si>
    <t>Técnico em Edificações</t>
  </si>
  <si>
    <t>CREA-RN 02121337-2</t>
  </si>
  <si>
    <t>COMPOSIÇÃO UNITÁRIA</t>
  </si>
  <si>
    <t>1 DESCRIÇÃO</t>
  </si>
  <si>
    <t xml:space="preserve"> Forma plana para paredes de concreto em compensado resinado de 12mm, 01 uso, inclusive escoramento</t>
  </si>
  <si>
    <t>CÓDIGO</t>
  </si>
  <si>
    <t>INSUMO</t>
  </si>
  <si>
    <t>UNID.</t>
  </si>
  <si>
    <t>Coef.</t>
  </si>
  <si>
    <t xml:space="preserve">PREÇO UNIT. </t>
  </si>
  <si>
    <t>PREÇO TOTAL</t>
  </si>
  <si>
    <t>00630/ORSE</t>
  </si>
  <si>
    <t>Compensado resinado 12mm - Madeirit ou similar</t>
  </si>
  <si>
    <t>01569/ORSE</t>
  </si>
  <si>
    <t>Madeira mista serrada (barrote) 6 x 6cm - 0,0036 m3/m (angelim, louro)</t>
  </si>
  <si>
    <t>06995/ORSE</t>
  </si>
  <si>
    <t>Madeira mista serrada (sarrafo) 2,2 x 5,5cm - 0,00121 m³/m</t>
  </si>
  <si>
    <t>00342/SINAPI</t>
  </si>
  <si>
    <t>Arame galvanizado 12 bwg, 2,76 mm (0,048 kg/m)</t>
  </si>
  <si>
    <t>02692/SINAPI</t>
  </si>
  <si>
    <t>Desmoldante protetor para formas de madeira, de base oleosaemulsionada em agua</t>
  </si>
  <si>
    <t>l</t>
  </si>
  <si>
    <t>05061/SINAPI</t>
  </si>
  <si>
    <t>Prego de aco polido com cabeca 18 x 27 (2 1/2 x 10)</t>
  </si>
  <si>
    <t>88316/SINAPI</t>
  </si>
  <si>
    <t>Servente com encargos complementares</t>
  </si>
  <si>
    <t>h</t>
  </si>
  <si>
    <t>88262/SINAPI</t>
  </si>
  <si>
    <t>Carpinteiro de formas com encargos complementares</t>
  </si>
  <si>
    <t>TOTAL</t>
  </si>
  <si>
    <t>2 DESCRIÇÃO</t>
  </si>
  <si>
    <t>Mobilização e Desmobiilzação</t>
  </si>
  <si>
    <t>88282/SINAPI</t>
  </si>
  <si>
    <t>Motorista de caminhão com encargos complementares</t>
  </si>
  <si>
    <t>37765/SINAPI</t>
  </si>
  <si>
    <t>CAMINHAO TOCO, PESO BRUTO TOTAL 8250 KG, CARGA UTIL MAXIMA 5110 KG, DISTANCIA
ENTRE EIXOS 4,30 M, POTENCIA 162 CV (INCLUI CABINE E CHASSI, NAO INCLUI CARROCERIA)</t>
  </si>
  <si>
    <t>37727/SINAPI</t>
  </si>
  <si>
    <t>CARROCERIA FIXA ABERTA DE MADEIRA PARA TRANSPORTE GERAL DE CARGA SECA
DIMENSOES APROXIMADAS 2,25 X 4,10 X 0,50 M (INCLUI MONTAGEM, NAO INCLUI CAMINHAO)</t>
  </si>
  <si>
    <t>3 DESCRIÇÃO</t>
  </si>
  <si>
    <t>738471/SINAPI</t>
  </si>
  <si>
    <t>Aluguel container/escrit incl inst elet larg=2,20 comp=6,20m alt=2,50m chapa aco c/nerv trapez forro c/isol termo/acustico chassis reforc piso compens naval exc transp/carga/descarga</t>
  </si>
  <si>
    <t>72840/SINAPI</t>
  </si>
  <si>
    <t>Transporte comercial com caminhao carroceria 9 t, rodovia pavimentada</t>
  </si>
  <si>
    <t>txkm</t>
  </si>
  <si>
    <t>4 DESCRIÇÃO</t>
  </si>
  <si>
    <t>88597/SINAPI</t>
  </si>
  <si>
    <t>Desenhista detalhista com encargos complementares</t>
  </si>
  <si>
    <t>CREA-AL</t>
  </si>
  <si>
    <t>EMISSÃO DE ANOTAÇÃO DE RESPONSABILIDADE TÉCNICA (ART)</t>
  </si>
  <si>
    <t>5 DESCRIÇÃO</t>
  </si>
  <si>
    <t>6 DESCRIÇÃO</t>
  </si>
  <si>
    <t>Administração da Obra</t>
  </si>
  <si>
    <t>90778/SINAPI</t>
  </si>
  <si>
    <t>Engenheiro civil de obra pleno com encargos complementares</t>
  </si>
  <si>
    <t>93563/SINAPI</t>
  </si>
  <si>
    <t>Almoxarife com encargos complementares</t>
  </si>
  <si>
    <t>94295/SINAPI</t>
  </si>
  <si>
    <t>Mestre de obras com encargos complementares</t>
  </si>
  <si>
    <t>7 DESCRIÇÃO</t>
  </si>
  <si>
    <t>PESQUISA DE MERCADO</t>
  </si>
  <si>
    <t>Conjunto de Equipamentos hidráulicos com Filtro, Areia, Pré-Filtro e Bomba, com vazão de ao menos 880m³/m²/dia, totalmente a prova de corrosão, com válvula seletora de seis posições (filtrar, retrolavar, drenar, recircular, enxaguar e testar) e que opere com dois manômetros.</t>
  </si>
  <si>
    <t>88267/SINAPI</t>
  </si>
  <si>
    <t>Encanador ou bombeiro hidráulico com encargos complementares</t>
  </si>
  <si>
    <t>88248/SINAPI</t>
  </si>
  <si>
    <t>Auxiliar de encanador ou bombeiro hidráulico com encargos complementares</t>
  </si>
  <si>
    <t>8 DESCRIÇÃO</t>
  </si>
  <si>
    <t>Dispositivo de Retorno de 2", com corpo feito de latão ou bronze, acabamento cromado e ajuste de vazão.</t>
  </si>
  <si>
    <t>Unid.</t>
  </si>
  <si>
    <t>9 DESCRIÇÃO</t>
  </si>
  <si>
    <t>Dispositivo de Aspiração de 2", com corpo feito de latão ou bronze e acabamento cromado.</t>
  </si>
  <si>
    <t>10 DESCRIÇÃO</t>
  </si>
  <si>
    <t>Coadeira Boca Larga feita em resina termoplástica ABS e com saída para acoplamento de aspiração.</t>
  </si>
  <si>
    <t>Fornecimento e Instalação de Piso Cimentício Atérmico e antiderrapante 50x50cm - Cinza.</t>
  </si>
  <si>
    <t>37595/SINAPI</t>
  </si>
  <si>
    <t xml:space="preserve">Argamassa colante tipo aciii </t>
  </si>
  <si>
    <t>88256/SINAPI</t>
  </si>
  <si>
    <t>Azulejista ou ladrilhista com encargos complementares</t>
  </si>
  <si>
    <t>Piso Cimentício Atérmico e antiderrapante 50x50cm</t>
  </si>
  <si>
    <t>11 DESCRIÇÃO</t>
  </si>
  <si>
    <t>12 DESCRIÇÃO</t>
  </si>
  <si>
    <t>Fornecimento e Instalação de Bloco de Saída com estrutura manufaturada em resina plástica de alta resistência, com plataforma feita em aço inox de liga especial 304L, com superfície antiderrapante. O bloco de saída deve ter plataforma com inclinação de 06º, 45cm de altura frontal em relação ao solo, 55cm de altura traseira em relação ao solo, base de apoio no solo nas medidas 53cm de largura por 34cm de comprimento e 06 pontos de fixação para parafusos de inox 3/8". A plataforma de apoio deve ter 50cm de largura por 75cm de comprimento, feita com superfície antiderrapante extremamente aderente e pintura eletrostática. Possui ainda uma rampa de apoio para o pé traseiro feita em aço inox com ângulo de 150º em relação a plataforma de apoio do bloco, nas medidas 50cm de comprimento por 22cm de altura. Esta rampa deve ser deslizante e possuir ao menos 5 níveis de ajuste, para se adaptar a atletas de diferentes alturas. O bloco de saída deve conter ainda numeração nos 4 lados e ser personalizada com as cores e logo deste Instituto Federal.</t>
  </si>
  <si>
    <t>88309/SINAPI</t>
  </si>
  <si>
    <t>Pedreiro com encargos complementares</t>
  </si>
  <si>
    <t>13 DESCRIÇÃO</t>
  </si>
  <si>
    <t>12352/ORSE</t>
  </si>
  <si>
    <t>Junção interna tipo "I" para perfilado, ( ref.: Mopa ou similar)</t>
  </si>
  <si>
    <t>88264/SINAPI</t>
  </si>
  <si>
    <t>Eletricista com Encargos complementares</t>
  </si>
  <si>
    <t>88247/SINAPI</t>
  </si>
  <si>
    <t>Auxiliar de Eletricista com Encargos complementares</t>
  </si>
  <si>
    <t>14 DESCRIÇÃO</t>
  </si>
  <si>
    <t>03624/ORSE</t>
  </si>
  <si>
    <t>15 DESCRIÇÃO</t>
  </si>
  <si>
    <t>04892/ORSE</t>
  </si>
  <si>
    <t>Caixa de sobrepor 5 entradas, tipo Condulete pvc rigido, p/eletroduto d = 1/2" e 3/4" , sem tampa (modelos: B,C,E,LB,T,X), Tigre ou similar</t>
  </si>
  <si>
    <t>16 DESCRIÇÃO</t>
  </si>
  <si>
    <t>00103/SINAPI</t>
  </si>
  <si>
    <t xml:space="preserve">Adaptador pvc soldavel curto com bolsa e rosca, 110 mm x 4", para agua fria </t>
  </si>
  <si>
    <t>20080/SINAPI</t>
  </si>
  <si>
    <t xml:space="preserve">Adesivo plastico para pvc, frasco com 175 gr </t>
  </si>
  <si>
    <t>20083/SINAPI</t>
  </si>
  <si>
    <t xml:space="preserve">Solucao limpadora para pvc, frasco com 1000 cm3 </t>
  </si>
  <si>
    <t>38383/SINAPI</t>
  </si>
  <si>
    <t xml:space="preserve">Lixa d'agua em folha, grao 100 </t>
  </si>
  <si>
    <t>17 DESCRIÇÃO</t>
  </si>
  <si>
    <t>00113/SINAPI</t>
  </si>
  <si>
    <t xml:space="preserve">Adaptador pvc soldavel curto com bolsa e rosca, 60 mm x 2",para agua fria </t>
  </si>
  <si>
    <t>18 DESCRIÇÃO</t>
  </si>
  <si>
    <t>20147/SINAPI</t>
  </si>
  <si>
    <t xml:space="preserve">Joelho pvc, soldavel, com bucha de latao, 90 graus, 25 mm x1/2", para agua fria predial </t>
  </si>
  <si>
    <t>19 DESCRIÇÃO</t>
  </si>
  <si>
    <t>00065/SINAPI</t>
  </si>
  <si>
    <t xml:space="preserve">Adaptador pvc soldavel curto com bolsa e rosca, 25 mm x 3/4", para agua fria </t>
  </si>
  <si>
    <t>20 DESCRIÇÃO</t>
  </si>
  <si>
    <t>00828/ORSE</t>
  </si>
  <si>
    <t>Disjuntor tripolar 63 A, padrão DIN ( linha branca ), curva de disparo C, corrente de interrupção 5KA, ref.: Siemens 5SX1 ou similar.</t>
  </si>
  <si>
    <t>Responsável pelo orçamento</t>
  </si>
  <si>
    <t>21 DESCRIÇÃO</t>
  </si>
  <si>
    <t>Chuveiro plástico grande fornecimento e instalação</t>
  </si>
  <si>
    <t xml:space="preserve">ENCANADOR OU BOMBEIRO HIDRÁULICO COM ENCARGOS COMPLEMENTARES </t>
  </si>
  <si>
    <t>04506/ORSE</t>
  </si>
  <si>
    <t>Chuveiro plástico grande</t>
  </si>
  <si>
    <t>un</t>
  </si>
  <si>
    <t>11680/SINAPI</t>
  </si>
  <si>
    <t>Braco ou haste com canopla plastica, 1/2 ", para chuveiro simples</t>
  </si>
  <si>
    <t>TOTAL(und)</t>
  </si>
  <si>
    <t>Fonte: 02050/ORSE – com alteração do insumo chuveiro para o especificado do memorial descritivo</t>
  </si>
  <si>
    <t>22 DESCRIÇÃO</t>
  </si>
  <si>
    <t>00235/ORSE</t>
  </si>
  <si>
    <t>Ceramica tipo azulejo branco 15x15 cm, tipo "A"</t>
  </si>
  <si>
    <t>m2</t>
  </si>
  <si>
    <t>02540/ORSE</t>
  </si>
  <si>
    <t>Rejunte colorido flexivel para revestimentos cerâmicos</t>
  </si>
  <si>
    <t xml:space="preserve"> SERVENTE COM ENCARGOS COMPLEMENTARES </t>
  </si>
  <si>
    <t>Argamassa industrializada AC-I, Votomassa ou similar</t>
  </si>
  <si>
    <t>TOTAL(m²)</t>
  </si>
  <si>
    <t>Fonte: 01912/ORSE</t>
  </si>
  <si>
    <t>23 DESCRIÇÃO</t>
  </si>
  <si>
    <t>Banco de concreto com apoios em alvenaria 1,5m x 0,50m</t>
  </si>
  <si>
    <t>5.2.6</t>
  </si>
  <si>
    <t>89283/SINAPI</t>
  </si>
  <si>
    <t>ALVENARIA ESTRUTURAL DE BLOCOS CERÂMICOS 14X19X39, (ESPESSURA DE 14 CM), PARA PAREDES COM ÁREA LÍQUIDA MENOR QUE 6M², SEM VÃOS, UTILIZANDO P
ALHETA E ARGAMASSA DE ASSENTAMENTO COM PREPARO MANUAL. AF_12/2014</t>
  </si>
  <si>
    <t>87894/SINAPI</t>
  </si>
  <si>
    <t>CHAPISCO APLICADO EM ALVENARIA (SEM PRESENÇA DE VÃOS) E ESTRUTURAS DE M2 AS CONCRETO DE FACHADA, COM COLHER DE PEDREIRO. ARGAMASSA TRAÇO 1:3 COM PREPARO EM BETONEIRA 400L. AF_06/2014</t>
  </si>
  <si>
    <t>87280/SINAPI</t>
  </si>
  <si>
    <t>ARGAMASSA TRAÇO 1:7 (CIMENTO E AREIA MÉDIA) COM ADIÇÃO DE PLASTIFICANTE PARA EMBOÇO/MASSA ÚNICA/ASSENTAMENTO DE ALVENARIA DE VEDAÇÃO, PREPARO MECÂNICO COM BETONEIRA 400 L. AF_06/2014</t>
  </si>
  <si>
    <t>94964/SINAPI</t>
  </si>
  <si>
    <t>CONCRETO FCK = 20MPA, TRAÇO 1:2,7:3 (CIMENTO/ AREIA MÉDIA/ BRITA 1) - M3 AS 
PREPARO MECÂNICO COM BETONEIRA 400 L. AF_07/2016</t>
  </si>
  <si>
    <t>85662/SINAPI</t>
  </si>
  <si>
    <t>ARMACAO EM TELA DE ACO SOLDADA NERVURADA Q-92, ACO CA-60, 4,2MM, MALHA
15X15CM</t>
  </si>
  <si>
    <t>92513/SINAPI</t>
  </si>
  <si>
    <t>MONTAGEM E DESMONTAGEM DE FÔRMA DE LAJE MACIÇA COM ÁREA MÉDIA MENOR OU M2 AS 
IGUAL A 20 M², PÉ-DIREITO SIMPLES, EM CHAPA DE MADEIRA COMPENSADA RESINADA, 4 UTILIZAÇÕES. AF_12/2015</t>
  </si>
  <si>
    <t>LANÇAMENTO COM USO DE BALDES, ADENSAMENTO E ACABAMENTO DE CONCRETO EM 
ESTRUTURAS. AF_12/2015</t>
  </si>
  <si>
    <t>7353/SINAPI</t>
  </si>
  <si>
    <t>RESINA ACRILICA BASE AGUA - COR BRANCA</t>
  </si>
  <si>
    <t>L</t>
  </si>
  <si>
    <t>Fonte: quantitativos retirados do projeto</t>
  </si>
  <si>
    <t>24 DESCRIÇÃO</t>
  </si>
  <si>
    <t xml:space="preserve">PILAR DE AMARRAÇÃO DE ALVENARIA MOLDADO IN LOCO EM CONCRETO </t>
  </si>
  <si>
    <t>88316</t>
  </si>
  <si>
    <t>SERVENTE COM ENCARGOS COMPLEMENTARES</t>
  </si>
  <si>
    <t>H</t>
  </si>
  <si>
    <t>FABRICAÇÃO DE FÔRMA PARA VIGAS, COM MADEIRA SERRADA, E = 25 MM. AF_12/2015</t>
  </si>
  <si>
    <t>M2</t>
  </si>
  <si>
    <t>KG</t>
  </si>
  <si>
    <t>CONCRETO FCK = 20MPA, TRAÇO 1:2,7:3 (CIMENTO/ AREIA MÉDIA/ BRITA 1)  - PREPARO MECÂNICO COM BETONEIRA 600 L. AF_07/2016</t>
  </si>
  <si>
    <t>M3</t>
  </si>
  <si>
    <t>DESMOLDANTE PROTETOR PARA FORMAS DE MADEIRA, DE BASE OLEOSA EMULSIONADA EM AGUA</t>
  </si>
  <si>
    <t>UN</t>
  </si>
  <si>
    <t>Fonte: 93204/SINAPI</t>
  </si>
  <si>
    <t>25 DESCRIÇÃO</t>
  </si>
  <si>
    <t>26 DESCRIÇÃO</t>
  </si>
  <si>
    <t>00131/SINAPI</t>
  </si>
  <si>
    <t>Adesivo estrutural a base de resina epoxi, bicomponente, pastoso (tixotropico)</t>
  </si>
  <si>
    <t>88309</t>
  </si>
  <si>
    <t>PEDREIRO COM ENCARGOS COMPLEMENTARES</t>
  </si>
  <si>
    <t>27 DESCRIÇÃO</t>
  </si>
  <si>
    <t>7167/SINAPI</t>
  </si>
  <si>
    <t>TELA DE ARAME GALV QUADRANGULAR / LOSANGULAR, FIO 2,11 MM (14 BWG), MALHA 5 X 5 
CM, H = 2 M</t>
  </si>
  <si>
    <t>83731/SINAPI</t>
  </si>
  <si>
    <t>IMPERMEABILIZACAO DE SUPERFICIE COM ARGAMASSA DE CIMENTO E AREIA, TRACO 1:3, COM ADITIVO IMPERMEABILIZANTE, E=3 CM</t>
  </si>
  <si>
    <t>28 DESCRIÇÃO</t>
  </si>
  <si>
    <t>4231/ORSE</t>
  </si>
  <si>
    <t>Tela de aço galvanizado, fio 10 bwg, malha 1", ondulada, quadrada, sem revestimento</t>
  </si>
  <si>
    <t>00552/SINAPI</t>
  </si>
  <si>
    <t>Barra de ferro retangular, barra chata, 1 1/2" x 1/4" (l x e), 1,89 kg/m</t>
  </si>
  <si>
    <t>10997/SINAPI</t>
  </si>
  <si>
    <t>Eletrodo revestido aws - e7018, diametro igual a 4,00 mm</t>
  </si>
  <si>
    <t>SERRALHEIRO COM ENCARGOS COMPLEMENTARES</t>
  </si>
  <si>
    <t>29 DESCRIÇÃO</t>
  </si>
  <si>
    <t>01860/ORSE</t>
  </si>
  <si>
    <t>Remoção e reassentamento de esquadria de ferro</t>
  </si>
  <si>
    <t>00370/SINAPI</t>
  </si>
  <si>
    <t>Areia media - posto jazida/fornecedor (retirado na jazida, sem transporte)</t>
  </si>
  <si>
    <t>m3</t>
  </si>
  <si>
    <t>01379/SINAPI</t>
  </si>
  <si>
    <t>Cimento portland composto cp ii-32</t>
  </si>
  <si>
    <t>08181/ORSE</t>
  </si>
  <si>
    <t>Tela de aço galvanizado fio 10 bwg, malha 1", ondulada, quadrada, fixada em moldura constituída de barra chata de 1 1/2 x 1/4"</t>
  </si>
  <si>
    <t>79498/001</t>
  </si>
  <si>
    <t>PINTURA A OLEO BRILHANTE SOBRE SUPERFICIE METALICA, UMA DEMAO INCLUSO UMA DEMAO DE FUNDO ANTICORROSIVO</t>
  </si>
  <si>
    <t>30 DESCRIÇÃO</t>
  </si>
  <si>
    <t>TELHADISTA COM ENCARGOS COMPLEMENTARES</t>
  </si>
  <si>
    <t>GUINDASTE HIDRÁULICO AUTOPROPELIDO, COM LANÇA TELESCÓPICA 40 M, CAPACIDADE MÁXIMA 60 T, POTÊNCIA 260 KW - CHP DIURNO. AF_03/2016</t>
  </si>
  <si>
    <t>CHP</t>
  </si>
  <si>
    <t>GUINDASTE HIDRÁULICO AUTOPROPELIDO, COM LANÇA TELESCÓPICA 40 M, CAPACIDADE MÁXIMA 60 T, POTÊNCIA 260 KW - CHI DIURNO. AF_03/2016</t>
  </si>
  <si>
    <t>CHI</t>
  </si>
  <si>
    <t>TELHA DE ACO ZINCADO TRAPEZOIDAL AUTOPORTANTE, A = 120 MM, E = 0,95 MM, COM PINTURA ELETROSTATICA BRANCA EM 1 FACE</t>
  </si>
  <si>
    <t>HASTE RETA PARA GANCHO DE FERRO GALVANIZADO, COM ROSCA 1/4 " X 30 CM PARA FIXACAO DE TELHA METALICA, INCLUI PORCA E ARRUELAS DE VEDACAO</t>
  </si>
  <si>
    <t>CJ</t>
  </si>
  <si>
    <t>31 DESCRIÇÃO</t>
  </si>
  <si>
    <t xml:space="preserve"> BARRA LISA TRACO 1:4 (CIMENTO E AREIA MEDIA), ESPESSURA 2,0CM, PREPARO MANUAL DA ARGAMASSA</t>
  </si>
  <si>
    <t>94342/SINAPI</t>
  </si>
  <si>
    <t>ATERRO MANUAL DE VALAS COM AREIA PARA ATERRO E COMPACTAÇÃO MECANIZADA. AF_05/2016</t>
  </si>
  <si>
    <t>87298/SINAPI</t>
  </si>
  <si>
    <t>ARGAMASSA TRAÇO 1:3 (CIMENTO E AREIA MÉDIA) PARA CONTRAPISO, PREPARO MECÂNICO COM BETONEIRA 400 L. AF_06/2014</t>
  </si>
  <si>
    <t>92268/SINAPI</t>
  </si>
  <si>
    <t>FABRICAÇÃO DE FÔRMA PARA LAJES, EM CHAPA DE MADEIRA COMPENSADA PLASTIFICADA, E = 18 MM. AF_12/2015</t>
  </si>
  <si>
    <t>73923/003/SINAPI</t>
  </si>
  <si>
    <t xml:space="preserve">PISO CIMENTADO TRACO 1:3 (CIMENTO E AREIA), COM ACABAMENTO RUSTICO E FRISADO ESPESSURA 2CM, PREPARO MANUAL </t>
  </si>
  <si>
    <t>CRONOGRAMA FÍSICO - FINANCEIRO- REDE ESTRUTURADA E REDE ELÉTRICA DE BAIXA TENSÃO - IFAL - CAMPUS MACEIÓ</t>
  </si>
  <si>
    <t>VALOR TOTAL</t>
  </si>
  <si>
    <t>%</t>
  </si>
  <si>
    <t>1º MÊS</t>
  </si>
  <si>
    <t>2º MÊS</t>
  </si>
  <si>
    <t>3º MÊS</t>
  </si>
  <si>
    <t>4º MÊS</t>
  </si>
  <si>
    <t>5º MÊS</t>
  </si>
  <si>
    <t>6º MÊS</t>
  </si>
  <si>
    <t>R$</t>
  </si>
  <si>
    <t>TOTAL SEM BDI</t>
  </si>
  <si>
    <t>TOTAL COM BDI</t>
  </si>
  <si>
    <t>TOTAL ACUMULADO</t>
  </si>
  <si>
    <t>Quantidade</t>
  </si>
  <si>
    <t>Preço Unitario</t>
  </si>
  <si>
    <t>SERVIÇOS PRELIMINARES</t>
  </si>
  <si>
    <t>Fornecimento e instalação de placa da obra de aço galvanizado</t>
  </si>
  <si>
    <t>74209/001 - SINAPII</t>
  </si>
  <si>
    <t>1.2</t>
  </si>
  <si>
    <t>Fornecimento de Equipamento de segurança (EPI e EPC)</t>
  </si>
  <si>
    <t>Cj.</t>
  </si>
  <si>
    <t>Composição 142</t>
  </si>
  <si>
    <t>1.3</t>
  </si>
  <si>
    <t xml:space="preserve">Fornecimento de Equipamentos e ferramentas em geral </t>
  </si>
  <si>
    <t>Composição 143</t>
  </si>
  <si>
    <t>1.4</t>
  </si>
  <si>
    <t>Administração da obra com 1 engenheiro, 2 horas/dia, 3 vezes na semana.</t>
  </si>
  <si>
    <t>2707/SINAPI</t>
  </si>
  <si>
    <t>1.5</t>
  </si>
  <si>
    <t>Administração da obra com 1 eletrotécnico (encarregado) diariamente.</t>
  </si>
  <si>
    <t>2483/SINAPI</t>
  </si>
  <si>
    <t>1.6</t>
  </si>
  <si>
    <t>Fornecimento e instalação de Container para escritório, inclusive instalações elétrica e hidráulica, larg.: 2,20m; comp.: 6,20m; alt.: 2,50m, em chapa de aço com nervura trapezoidal, forro com isolamento térmico e acústico, chassis reforçado e piso compensado naval.</t>
  </si>
  <si>
    <t>73847/001 - SINAPI</t>
  </si>
  <si>
    <t>1.7</t>
  </si>
  <si>
    <t>Fornecimento e instalação de Container para sanitários com 2 vasos, 1 lavatório, 1 mictório, 4 chuveiros,  larg.: 2,20m; comp.: 6,20m; alt.: 2,50m, em chapa de aço com nervura trapezoidal, forro com isolamento térmico e acústico, chassis reforçado e piso compensado naval, inclusive inst. elétrica e hidráulica.</t>
  </si>
  <si>
    <t>73847/003 - SINAPI</t>
  </si>
  <si>
    <t>1.8</t>
  </si>
  <si>
    <t>Coleta e carga manual de entulho</t>
  </si>
  <si>
    <t>0026/ORSE</t>
  </si>
  <si>
    <t>1.9</t>
  </si>
  <si>
    <t>SUBTOTAL</t>
  </si>
  <si>
    <t>ALIMENTAÇÃO DAS TOMADAS DA REDE LÓGICA</t>
  </si>
  <si>
    <t>Fornecimento e instalação de Arruela Lisa de 1/4"-Cemar</t>
  </si>
  <si>
    <t>Peça</t>
  </si>
  <si>
    <t>Composição 46</t>
  </si>
  <si>
    <t>Fornecimento e lançamento de cabo de Cobre Flexível, Isolado, Singelo de 4,00mm²  tipo Unipolar, Esp. NBR- 7286 e NBR NM 280, encordamento classe 4, Tempera Mole, isolamento em PVC, com capa externa em PVC, cor preto, temperatura de operação 70 °C, tensão de isolamento 1 KV.</t>
  </si>
  <si>
    <t>Metro</t>
  </si>
  <si>
    <t>Composição 1</t>
  </si>
  <si>
    <t>Fornecimento e lançamento de cabo de Cobre Flexível, Isolado, Singelo de 4mm²  tipo Unipolar, Esp. NBR- 7286 e NBR NM 280, encordamento classe 4, Tempera Mole, isolamento em PVC, com capa externa em PVC, cor Azul, temperatura de operação 70 °C, tensão de isolamento 1 KV.</t>
  </si>
  <si>
    <t>Composição 2</t>
  </si>
  <si>
    <t>Fornecimento e lançamento de cabo de Cobre Flexível, Isolado, Singelo de 4,00mm²  tipo Unipolar, Esp. NBR- 7286 e NBR NM 280, encordamento classe 4, Tempera Mole, isolamento em PVC, com capa externa em PVC, cor Verde, temperatura de operação 70 °C, tensão de isolamento 1 KV.</t>
  </si>
  <si>
    <t>Composição 3</t>
  </si>
  <si>
    <t>Fornecimento e lançamento de Cabo de Cobre isolado em EPR flexível unipolar 10mm² - 0,6Kv/1Kv/90º</t>
  </si>
  <si>
    <t>09205/ORSE</t>
  </si>
  <si>
    <t>Fornecimento e lançamento de Cabo de Cobre isolado em EPR flexível unipolar 16mm² - 0,6Kv/1Kv/90º</t>
  </si>
  <si>
    <t>09204/ORSE</t>
  </si>
  <si>
    <t>Fornecimento e lançamento de Cabo de Cobre isolado em EPR flexível unipolar 25mm² - 0,6Kv/1Kv/90º</t>
  </si>
  <si>
    <t>08070/ORSE</t>
  </si>
  <si>
    <t>Fornecimento e lançamento de cabo Par Trançado UTP, 4 pares, Cat. 6e.</t>
  </si>
  <si>
    <t>7138/ORSE</t>
  </si>
  <si>
    <t xml:space="preserve">Fornecimento e instalação de eletrocalha perfurada 100x100x3000mm </t>
  </si>
  <si>
    <t>Barra 3 metros</t>
  </si>
  <si>
    <t>8684/ORSE</t>
  </si>
  <si>
    <t xml:space="preserve">Fornecimento e instalação de eletrocalha perfurada  200x100x3000mm </t>
  </si>
  <si>
    <t>Composição 4</t>
  </si>
  <si>
    <t>Colar P/ RJ45 Bezel Cinza Claro-Cemar</t>
  </si>
  <si>
    <t>Composição 33</t>
  </si>
  <si>
    <t>Fornecimento e instalação de Condumult Cinza Claro 6 Furos 1/2"-3/4"</t>
  </si>
  <si>
    <t>Fornecimento e instalação de Curva 90° Para Eletroduto PVC Rígido Soldável Classe B 25mm (NBR-6150)</t>
  </si>
  <si>
    <t>Composição 8</t>
  </si>
  <si>
    <t>Fornecimento e instalação de Curva de Inversão Perfurada  100x100mm Chapa 16</t>
  </si>
  <si>
    <t>8701/ORSE</t>
  </si>
  <si>
    <t>Fornecimento e instalação de Curva de Inversão Perfurada  200x100mm Chapa 16</t>
  </si>
  <si>
    <t>Composição 9</t>
  </si>
  <si>
    <t>2.16</t>
  </si>
  <si>
    <t>Fornecimento e instalação de Curva Horizontal 45° Lisa de 100x100mm Chapa 16-Cemar</t>
  </si>
  <si>
    <t>2.17</t>
  </si>
  <si>
    <t>Fornecimento e instalação de Curva Horizontal 45° Lisa de 200x100mm Chapa 16-Cemar</t>
  </si>
  <si>
    <t>2.18</t>
  </si>
  <si>
    <t>Fornecimento e instalação de Curva Horizontal 90° Lisa de 100x100mm Chapa 16-Cemar</t>
  </si>
  <si>
    <t>8688/ORSE</t>
  </si>
  <si>
    <t>2.19</t>
  </si>
  <si>
    <t>Fornecimento e instalação de Curva Horizontal 90° Lisa de 200x100mm Chapa 16-Cemar</t>
  </si>
  <si>
    <t>2.20</t>
  </si>
  <si>
    <t>Fornecimento e instalação de Derivação Lateral Simples Para Eletroduto 3/4" Chapa 16-Cemar</t>
  </si>
  <si>
    <t>2.21</t>
  </si>
  <si>
    <t>Fornecimento e instalação de Eletroduto PVC Rígido Soldável Classe B 25 mm - cinza claro(NBR 6150)</t>
  </si>
  <si>
    <t>barra de 3 metros</t>
  </si>
  <si>
    <t>composição14</t>
  </si>
  <si>
    <t>2.22</t>
  </si>
  <si>
    <t>Fornecimento e instalação de Emenda Interna "I" P/ Perfilado 38x38mm Chapa 16</t>
  </si>
  <si>
    <t>Composição15</t>
  </si>
  <si>
    <t>2.23</t>
  </si>
  <si>
    <t>Fornecimento e instalação de Emenda Interna "L" P/ Perfilado 38x38mm Chapa 16</t>
  </si>
  <si>
    <t>Composição16</t>
  </si>
  <si>
    <t>2.24</t>
  </si>
  <si>
    <t>Fornecimento e instalação de Emenda Interna  100x100mm Perfurada Chapa 16</t>
  </si>
  <si>
    <t>Composição17</t>
  </si>
  <si>
    <t>2.25</t>
  </si>
  <si>
    <t>Fornecimento e instalação de Emenda Interna  200x100mm Perfurada Chapa 16</t>
  </si>
  <si>
    <t>Composição18</t>
  </si>
  <si>
    <t>2.26</t>
  </si>
  <si>
    <t>Fornecimento e instalação de Fibra Óptica Multimodo de 2 Pares</t>
  </si>
  <si>
    <t>Composição19</t>
  </si>
  <si>
    <t>2.27</t>
  </si>
  <si>
    <t>Fornecimento e instalação de Fusão Para Fibra Óptica</t>
  </si>
  <si>
    <t>Composição20</t>
  </si>
  <si>
    <t>2.28</t>
  </si>
  <si>
    <t xml:space="preserve">Fornecimento e instalação de Mão Francesa reforçada 400mm chapa16 </t>
  </si>
  <si>
    <t>2.29</t>
  </si>
  <si>
    <t>Fornecimento e instalação de bucha de nylon s12</t>
  </si>
  <si>
    <t>pç</t>
  </si>
  <si>
    <t>00684/ORSE</t>
  </si>
  <si>
    <t>2.30</t>
  </si>
  <si>
    <t>Fornecimento e instalação de parafuso Inox cabeça sextavada rosca soberba  3/8"</t>
  </si>
  <si>
    <t>07861/ORSE</t>
  </si>
  <si>
    <t>2.31</t>
  </si>
  <si>
    <t>Fornecimento e instalação deTomada RJ45 Cat. 6e</t>
  </si>
  <si>
    <t>Composição 35</t>
  </si>
  <si>
    <t>2.32</t>
  </si>
  <si>
    <t>Fornecimento e instalação de Tomada Dupla 2P+T-20A-220V Sistema Brasileiro NBR 14136</t>
  </si>
  <si>
    <t>Composição 36</t>
  </si>
  <si>
    <t>2.33</t>
  </si>
  <si>
    <t>Fornecimento e instalação de Parafuso Cabeça Lentilha Autotravante de 1/4"x1/2"-Cemar</t>
  </si>
  <si>
    <t>Composição 38</t>
  </si>
  <si>
    <t>2.34</t>
  </si>
  <si>
    <t xml:space="preserve">Fornecimento e instalação de Parafuso Cabeça Lentilha Autotravante de 1/4"x5/8"-Cemar </t>
  </si>
  <si>
    <t>Composição 47</t>
  </si>
  <si>
    <t>2.35</t>
  </si>
  <si>
    <t>Fornecimento e instalação de Perfilado Perfurado 38x38mm Chapa 16-Cemar</t>
  </si>
  <si>
    <t>2.36</t>
  </si>
  <si>
    <t xml:space="preserve">Fornecimento e instalação de módulo de Tomada 2P+T-20A-220V Sistema Brasileiro </t>
  </si>
  <si>
    <t>Composição 52</t>
  </si>
  <si>
    <t>2.37</t>
  </si>
  <si>
    <t xml:space="preserve">Fornecimento e instalação de Porca Perfil 3/4" Para Perfilado-Cemar </t>
  </si>
  <si>
    <t>Composição 48</t>
  </si>
  <si>
    <t>2.38</t>
  </si>
  <si>
    <t>Fornecimento e instalação de Bucha de Acabamento em Liga de Aluminio Silicito 3/4</t>
  </si>
  <si>
    <t>Composição 49</t>
  </si>
  <si>
    <t>2.39</t>
  </si>
  <si>
    <t>Fornecimento e instalação de Conector Reto em Liga de Aluminio Silicito 3/4</t>
  </si>
  <si>
    <t>Composição 51</t>
  </si>
  <si>
    <t>2.40</t>
  </si>
  <si>
    <t>Fornecimento e instalação de Porca Sextavada de 1/4"-Cemar</t>
  </si>
  <si>
    <t>Composição 39</t>
  </si>
  <si>
    <t>2.41</t>
  </si>
  <si>
    <t>Fornecimento e instalação de saída Horizontal Para Eletroduto de 32mm - Cemar</t>
  </si>
  <si>
    <t>0724/ORSE</t>
  </si>
  <si>
    <t>2.42</t>
  </si>
  <si>
    <t>Fornecimento e instalação de Saída Para Perfilado 38x38mm-Cemar</t>
  </si>
  <si>
    <t>2.43</t>
  </si>
  <si>
    <t>Fornecimento e instalação de Tê Horizontal 90° 300x100mm Chapa 16-Cemar</t>
  </si>
  <si>
    <t>2.44</t>
  </si>
  <si>
    <t>Fornecimento e instalação de Tê Vertical 90° 300x100mm Liso Chapa 18-Cemar</t>
  </si>
  <si>
    <t>2.45</t>
  </si>
  <si>
    <t>Fornecimento e instalação de Tê Vertical de Descida Lateral Perfurado Chapa 18-Cemar</t>
  </si>
  <si>
    <t>2.46</t>
  </si>
  <si>
    <t>Fornecimento e instalação de Tê Vertical de Descida Perfurado Chapa 18-Cemar</t>
  </si>
  <si>
    <t>2.47</t>
  </si>
  <si>
    <t>Fornecimento e instalação de Tê Vertical de Subida Perfurado Chapa 18-Cemar</t>
  </si>
  <si>
    <t>2.48</t>
  </si>
  <si>
    <t>Fornecimento e instalação de Tampa Cinza Claro P/ Tomada Simples RJ45</t>
  </si>
  <si>
    <t>2.49</t>
  </si>
  <si>
    <t>Fornecimento e instalação de Tampa Cinza Claro Cega</t>
  </si>
  <si>
    <t>2.50</t>
  </si>
  <si>
    <t>Fornecimento e instalação de Tampa Cinza Claro P/ Tomada Dupla Sistema Brasileiro</t>
  </si>
  <si>
    <t>Composição 32</t>
  </si>
  <si>
    <t>2.51</t>
  </si>
  <si>
    <t>Fornecimento e instalação de Quadro de distribuição de sobrepor para até 36 divisões, sem barramento</t>
  </si>
  <si>
    <t>0484/ORSE</t>
  </si>
  <si>
    <t>2.52</t>
  </si>
  <si>
    <t>Fornecimento e instalação de Bloco de Distribuição Modular, Tetrapolar de 100A, ICC Crista 20KA, com 7 Ligações Com 4 Módulos</t>
  </si>
  <si>
    <t>Composição 34</t>
  </si>
  <si>
    <t>2.53</t>
  </si>
  <si>
    <t>Fornecimento e instalação de Disjuntor Unipolar de 20A-220V-5kA-Curva C</t>
  </si>
  <si>
    <t>8417/ORSE</t>
  </si>
  <si>
    <t>2.54</t>
  </si>
  <si>
    <t>Fornecimento e instalação de Disjuntor Tripolar de 63A- 380V-5kA-Curva C</t>
  </si>
  <si>
    <t>0452/ORSE</t>
  </si>
  <si>
    <t>2.55</t>
  </si>
  <si>
    <t xml:space="preserve">Fornecimento e instalação de Disjuntor Tripolar de 70A- 380V-5kA-Curva C </t>
  </si>
  <si>
    <t>8003/ORSE</t>
  </si>
  <si>
    <t>2.56</t>
  </si>
  <si>
    <t xml:space="preserve">Fornecimento e instalação de Disjuntor Tripolar de 32A- 380V-5kA-Curva C </t>
  </si>
  <si>
    <t>0451/ORSE</t>
  </si>
  <si>
    <t>2.57</t>
  </si>
  <si>
    <t>Fornecimento e instalação de Disjuntor Tripolar de 40A- 380V-5kA-Curva C</t>
  </si>
  <si>
    <t>8001/ORSE</t>
  </si>
  <si>
    <t>2.58</t>
  </si>
  <si>
    <t xml:space="preserve">Fornecimento e instalação de Disjuntor Tripolar de 80A- 380V-5kA-Curva C </t>
  </si>
  <si>
    <t>9004/ORSE</t>
  </si>
  <si>
    <t>2.59</t>
  </si>
  <si>
    <t xml:space="preserve">Fornecimento e instalação de Disjuntor Tripolar de 100A- 380V-10kA-Curva C </t>
  </si>
  <si>
    <t>Composição 37</t>
  </si>
  <si>
    <t>2.60</t>
  </si>
  <si>
    <t>Fornecimento e instalação de Gancho longo para perfilado.</t>
  </si>
  <si>
    <t>Composição 53</t>
  </si>
  <si>
    <t>2.61</t>
  </si>
  <si>
    <t>Fornecimento e instalação de Eletrocalha perfurada 50x50x3000mm</t>
  </si>
  <si>
    <t>Barra com 3 metros</t>
  </si>
  <si>
    <t>00765/ORSE</t>
  </si>
  <si>
    <t>2.62</t>
  </si>
  <si>
    <t>Fornecimento e instalação de Tê Horizontal 90° 50x50mm Chapa 16-Cemar</t>
  </si>
  <si>
    <t>08686/ORSE</t>
  </si>
  <si>
    <t>2.63</t>
  </si>
  <si>
    <t>Fornecimento e instalação de Curva de inversão  50x50mm - Chapa 16</t>
  </si>
  <si>
    <t>07880/ORSE</t>
  </si>
  <si>
    <t>2.64</t>
  </si>
  <si>
    <t>Fornecimento e instalação de Curva vertical interna 50x50mm -Chapa 16</t>
  </si>
  <si>
    <t>Composção 145</t>
  </si>
  <si>
    <t>2.65</t>
  </si>
  <si>
    <t>Fornecimento e instalação de Emenda Interna  50x50mm Perfurada Chapa 16</t>
  </si>
  <si>
    <t>Composição 144</t>
  </si>
  <si>
    <t>2.66</t>
  </si>
  <si>
    <t>Curva Horizontal de 90º  100x100mm -Chapa 16</t>
  </si>
  <si>
    <t>08688/ORSE</t>
  </si>
  <si>
    <t>2.67</t>
  </si>
  <si>
    <t>Saída horizontal para eletroduto 3/4" -Chapa 16</t>
  </si>
  <si>
    <t>Composição 156</t>
  </si>
  <si>
    <t>2.68</t>
  </si>
  <si>
    <t xml:space="preserve">Fornecimento e instalação de  Box Reto de 3/4¨. </t>
  </si>
  <si>
    <t>Composição 96</t>
  </si>
  <si>
    <t>2.69</t>
  </si>
  <si>
    <t>Fornecimento e instalação de chumbador tipo CBA sem parafuso 1/4¨.</t>
  </si>
  <si>
    <t>Composição 54</t>
  </si>
  <si>
    <t>2.70</t>
  </si>
  <si>
    <t>Fornecimento e instalação de Barra roscada 1/4¨.</t>
  </si>
  <si>
    <t>Composição 55</t>
  </si>
  <si>
    <t>2.71</t>
  </si>
  <si>
    <t>Fornecimento e Instalação de Quadro de Distribuição, Termosplástico (300x200x200) - CEMAR</t>
  </si>
  <si>
    <t>Composição 148</t>
  </si>
  <si>
    <t>2.72</t>
  </si>
  <si>
    <t>Fornecimento e Instalação de Quadro de Distribuição, Termosplástico (500x400x200) - CEMAR</t>
  </si>
  <si>
    <t>Composição 149</t>
  </si>
  <si>
    <t>2.73</t>
  </si>
  <si>
    <t>Fornecimento e instalação de Bloco de distribuição modular tetrapolar de 100 A ICC 20Ka com 7 ligações por barra. Com placa de fundo isolante e tampa de proteção transparente, auto estinguível a 960ºC. Para fixação em trilho DIN.</t>
  </si>
  <si>
    <t>Composição 150</t>
  </si>
  <si>
    <t>2.74</t>
  </si>
  <si>
    <t>Fornecimento e instalação de Bloco de distribuição modular tetrapolar de 125 A ICC 27Ka com 11 ligações por barra. Com placa de fundo isolante e tampa de proteção transparente, auto estinguível a 960ºC. Para fixação em trilho DIN.</t>
  </si>
  <si>
    <t>Composição 151</t>
  </si>
  <si>
    <t>2.75</t>
  </si>
  <si>
    <t xml:space="preserve">Fornecimento e instalação de curva vertical externa 90º de 200x100mm </t>
  </si>
  <si>
    <t>Composiçaõ 152</t>
  </si>
  <si>
    <t>2.76</t>
  </si>
  <si>
    <t>Fornecimento e instalação de curva de inversão 200x100mm</t>
  </si>
  <si>
    <t>2.77</t>
  </si>
  <si>
    <t>Fornecimento e Instalação de Luva 25mm - cinza claro</t>
  </si>
  <si>
    <t>01303/ORSE</t>
  </si>
  <si>
    <t>2.78</t>
  </si>
  <si>
    <t>Fornecimento e instalação de Adaptador Cinza Claro 3/4" P/ Caixa 1/2"-3/4"</t>
  </si>
  <si>
    <t>Composição 40</t>
  </si>
  <si>
    <t>2.79</t>
  </si>
  <si>
    <t>Fornecimento e instalação de Fixador de plástico p/ eletroduto 25mm</t>
  </si>
  <si>
    <t>Composição 64</t>
  </si>
  <si>
    <t>2.80</t>
  </si>
  <si>
    <t>Fornecimento e instalação de Porca perfil com pino 1/4"</t>
  </si>
  <si>
    <t>Fornecimento e instalação de cabo STP cat. 6e</t>
  </si>
  <si>
    <t>Composição 158</t>
  </si>
  <si>
    <t>2.81</t>
  </si>
  <si>
    <t>Fornecimento e instalação de Caixa para tomada padrão brasileiro - Chapa 18</t>
  </si>
  <si>
    <t>Composição 153</t>
  </si>
  <si>
    <t>BLOCO DE QUÍMICA - 1º E 2º PAVIMENTO</t>
  </si>
  <si>
    <t>Fornecimento e Instalação de eletroduto de PVC rígido Roscável(25mm), aparente, incluso fornecimento e instalação.</t>
  </si>
  <si>
    <t>00353/ORSE</t>
  </si>
  <si>
    <t>Fornecimento e instalação de eletroduto de PVC rígido Roscável(32mm), aparente, incluso fornecimento e instalação.</t>
  </si>
  <si>
    <t xml:space="preserve">m </t>
  </si>
  <si>
    <t>00354/ORSE</t>
  </si>
  <si>
    <t>Fornecimento e instação de cabos de cobre flexível, isolado em PVC para 450/750V BWF, 1,5mm² - Vermelho</t>
  </si>
  <si>
    <t>03796/ORSE</t>
  </si>
  <si>
    <t>Fornecimento e instação de cabos de cobre flexível, isolado em PVC para 450/750V BWF, 1,5mm² - Azul claro</t>
  </si>
  <si>
    <t>Fornecimento e instação de cabos de cobre flexível, isolado em PVC para 450/750V BWF, 1,5mm² - Cinza</t>
  </si>
  <si>
    <t>3.6</t>
  </si>
  <si>
    <t>Fornecimento e instação de cabos de cobre flexível, isolado em PVC para 450/750V BWF, 2,5mm² - Preto</t>
  </si>
  <si>
    <t>03797/ORSE</t>
  </si>
  <si>
    <t>3.7</t>
  </si>
  <si>
    <t>Fornecimento e instação de cabos de cobre flexível, isolado em PVC para 450/750V BWF, 2,5mm² - Azul Escuro</t>
  </si>
  <si>
    <t>3.8</t>
  </si>
  <si>
    <t>Fornecimento e instação de cabos de cobre flexível, isolado em PVC para 450/750V BWF, 2,5mm² - Verde</t>
  </si>
  <si>
    <t>3.9</t>
  </si>
  <si>
    <t>Fornecimento e instação de cabos de cobre flexível, isolado em PVC para 450/750V BWF, 4mm² - Preto</t>
  </si>
  <si>
    <t>03798/ORSE</t>
  </si>
  <si>
    <t>3.10</t>
  </si>
  <si>
    <t>Fornecimento e instação de cabos de cobre flexível, isolado em PVC para 450/750V BWF, 4mm² - Azul escuro</t>
  </si>
  <si>
    <t>3.11</t>
  </si>
  <si>
    <t>Fornecimento e instação de cabos de cobre flexível, isolado em PVC para 450/750V BWF, 4mm² - Verde</t>
  </si>
  <si>
    <t>3.12</t>
  </si>
  <si>
    <t>Fornecimento e instação de cabos de cobre flexível, isolado em PVC para 450/750V, 6mm² - Preto</t>
  </si>
  <si>
    <t>03799/ORSE</t>
  </si>
  <si>
    <t>3.13</t>
  </si>
  <si>
    <t>Fornecimento e instação de cabos de cobre flexível, isolado em PVC para 450/750V, 6mm² - Azul escuro</t>
  </si>
  <si>
    <t>3.14</t>
  </si>
  <si>
    <t>Fornecimento e instação de cabos de cobre flexível, isolado em PVC para 450/750V, 6mm² - Verde</t>
  </si>
  <si>
    <t>3.15</t>
  </si>
  <si>
    <t>Fornecimento e instação de cabos de cobre flexível, isolado em PVC para 450/750V, 16mm² - Preto</t>
  </si>
  <si>
    <t>03801/ORSE</t>
  </si>
  <si>
    <t>3.16</t>
  </si>
  <si>
    <t>Fornecimento e instação de cabos de cobre flexível, isolado em PVC para 450/750V, 16mm² - Azul Escuro</t>
  </si>
  <si>
    <t>3.17</t>
  </si>
  <si>
    <t>Fornecimento e instação de cabos de cobre flexível, isolado em PVC para 450/750V, 16mm² - Verde</t>
  </si>
  <si>
    <t>3.18</t>
  </si>
  <si>
    <t>Fornecimento e instação de cabos de cobre flexível, isolado em PVC para 450/750V, 10mm² - Verde</t>
  </si>
  <si>
    <t>03800/ORSE</t>
  </si>
  <si>
    <t>3.19</t>
  </si>
  <si>
    <t>Fornecimento e instação de cabos de cobre flexível, isolado em PVC para 450/750V, 10mm² - Preto</t>
  </si>
  <si>
    <t>3.20</t>
  </si>
  <si>
    <t>Fornecimento e instação de cabos de cobre flexível, isolado em PVC para 450/750V, 10mm² - Azul Escuro</t>
  </si>
  <si>
    <t>3.21</t>
  </si>
  <si>
    <t>Fornecimento e Instalação Caixa condumulti em PVC, anti-chama cinza clara com 6 entradas de eletroduto (1/2"x 3/4")</t>
  </si>
  <si>
    <t>3.22</t>
  </si>
  <si>
    <t>Fornecimento e Instalação Tampa em PVC rígido anti-chama cinza claro com 1 módulo para caixa 1/2" x 3/4"</t>
  </si>
  <si>
    <t>Composição 62</t>
  </si>
  <si>
    <t>3.23</t>
  </si>
  <si>
    <t>Fornecimento e Instalação deTampa em PVC rígido anti-chama cinza claro com 2 módulos para caixa 1/2" x 3/4"</t>
  </si>
  <si>
    <t xml:space="preserve">Composição 32  </t>
  </si>
  <si>
    <t>3.24</t>
  </si>
  <si>
    <t>Fornecimento e instalação Ponto de Interruptor Simples 20A-250V sem placa</t>
  </si>
  <si>
    <t>07210/ORSE</t>
  </si>
  <si>
    <t>3.25</t>
  </si>
  <si>
    <t>Fornecimento e instalação  Ponto Interruptor Duplo 20A-250V sem placa</t>
  </si>
  <si>
    <t>Composição 56</t>
  </si>
  <si>
    <t>3.26</t>
  </si>
  <si>
    <t>Fornecimento e instalação de Ponto de Tomada simples 2P+T  20A-220V Padrão Brasileiro NBR 14136</t>
  </si>
  <si>
    <t>3.27</t>
  </si>
  <si>
    <t>Fornecimento e Instalação de Luminária de sobrepor FAN02-S228 com corpo em chapa de alumínio (2x25w). Com aleta</t>
  </si>
  <si>
    <t>Composição 72</t>
  </si>
  <si>
    <t>3.28</t>
  </si>
  <si>
    <t>Fornecimento e Instalação de Luminária FAA02-S228 (2x25w). Sem aleta</t>
  </si>
  <si>
    <t>Composição 73</t>
  </si>
  <si>
    <t>3.29</t>
  </si>
  <si>
    <t>Fornecimento e Instalação de BLENDA- Luminária circular de sobrepor (2x14w). Corpo em alumínio repuxado com pintura eletrostática epóxi-pó na cor branca. Difusor em vidro plano temperado jateado</t>
  </si>
  <si>
    <t>Composição 74</t>
  </si>
  <si>
    <t>3.30</t>
  </si>
  <si>
    <t>Fornecimento e Instalação de Luminária Luminicenter FCN01-S128 (1x25w).</t>
  </si>
  <si>
    <t>Composição 75</t>
  </si>
  <si>
    <t>3.31</t>
  </si>
  <si>
    <t>Fornecimento e Instalação de Reator eletrônico Duplo  2 x 25 W com perda de 10W</t>
  </si>
  <si>
    <t>Composição 76</t>
  </si>
  <si>
    <t>3.32</t>
  </si>
  <si>
    <t>Fornecimento e Instalação de Reator eletrônico simples 1 x 25 W com perda de 10W</t>
  </si>
  <si>
    <t>Composição 109</t>
  </si>
  <si>
    <t>3.33</t>
  </si>
  <si>
    <t>Fornecimento e Instalação de Gancho Curto para Luminárias - Chapa 16</t>
  </si>
  <si>
    <t>Composição 110</t>
  </si>
  <si>
    <t>3.34</t>
  </si>
  <si>
    <t>Fornecimento e Instalação de Lâmpada Fluorescente - 25W</t>
  </si>
  <si>
    <t>Composição 77</t>
  </si>
  <si>
    <t>3.35</t>
  </si>
  <si>
    <t>Fornecimento e Instalação de Lâmpada mini compacta - 25W</t>
  </si>
  <si>
    <t>Composição 78</t>
  </si>
  <si>
    <t>3.36</t>
  </si>
  <si>
    <t>3.37</t>
  </si>
  <si>
    <t>3.38</t>
  </si>
  <si>
    <t>Fornecimento e Instalação de Luva 25mm</t>
  </si>
  <si>
    <t>3.39</t>
  </si>
  <si>
    <t>Fornecimento e Instalação de Curva de 90º - 25mm</t>
  </si>
  <si>
    <t>3.40</t>
  </si>
  <si>
    <t>Fornecimento e Instalação de Gancho longo para perfilado</t>
  </si>
  <si>
    <t>09673/ORSE</t>
  </si>
  <si>
    <t>3.41</t>
  </si>
  <si>
    <t>Fornecimento e Instalação de Bloco de distribuição Modular, tetrapolar com 7 ligações</t>
  </si>
  <si>
    <t>3.42</t>
  </si>
  <si>
    <t>Fornecimento e Instalação de Disjuntor Unipolar de 16A-220V-5kA- Curva C</t>
  </si>
  <si>
    <t>Composição 81</t>
  </si>
  <si>
    <t>3.43</t>
  </si>
  <si>
    <t>Fornecimento e Instalação de Disjuntor Unipolar de 40A-220V-5kA - Curva C</t>
  </si>
  <si>
    <t>Composição 92</t>
  </si>
  <si>
    <t>3.44</t>
  </si>
  <si>
    <t>Fornecimento e Instalação de Disjuntor Unipolar de 10A-220V-5kA - Curva B</t>
  </si>
  <si>
    <t>3.45</t>
  </si>
  <si>
    <t>Fornecimento e Instalação de Disjuntor Unipolar de 25A-220V-5kA - Curva C</t>
  </si>
  <si>
    <t>09518/ORSE</t>
  </si>
  <si>
    <t>3.46</t>
  </si>
  <si>
    <t>Fornecimento e Instalação de Disjuntor Unipolar de 50A-220V-5kA - Curva C</t>
  </si>
  <si>
    <t>Composição 91</t>
  </si>
  <si>
    <t>3.47</t>
  </si>
  <si>
    <t>Fornecimento e Instalação de Disjuntor Unipolar de 125A-220V-5kA - Curva C</t>
  </si>
  <si>
    <t>Composição 90</t>
  </si>
  <si>
    <t>3.48</t>
  </si>
  <si>
    <t>Fornecimento e Instalação de Disjuntor Unipolar de 63A-220V-5kA - Curva C</t>
  </si>
  <si>
    <t>Composição 85</t>
  </si>
  <si>
    <t>3.49</t>
  </si>
  <si>
    <t>Fornecimento e Instalação de Disjuntor Unipolar de 32A-220V-5kA - Curva C</t>
  </si>
  <si>
    <t>Composição 89</t>
  </si>
  <si>
    <t>3.50</t>
  </si>
  <si>
    <t>Fornecimento e Instalação de Disjuntor Tripolar de 32A-380V-5kA - Curva C</t>
  </si>
  <si>
    <t>3.51</t>
  </si>
  <si>
    <t>Fornecimento e Instalação de Disjuntor Tripolar de 30A-380V-5kA - Curva C</t>
  </si>
  <si>
    <t>Composição 88</t>
  </si>
  <si>
    <t>3.52</t>
  </si>
  <si>
    <t>Fornecimento e Instalação de Disjuntor Tripolar de 25A-380V-5kA - Curva C</t>
  </si>
  <si>
    <t>Composição 82</t>
  </si>
  <si>
    <t>3.53</t>
  </si>
  <si>
    <t>Fornecimento e Instalação de Disjuntor Tripolar de 40A-380V-5kA - Curva C</t>
  </si>
  <si>
    <t>3.54</t>
  </si>
  <si>
    <t>Fornecimento e Instalação de Disjuntor Tripolar de 50A-380V-5kA - Curva C</t>
  </si>
  <si>
    <t>08419/ORSE</t>
  </si>
  <si>
    <t>3.55</t>
  </si>
  <si>
    <t>Fornecimento e Instalação de Disjuntor Tripolar de 63A-380V-5kA - Curva C</t>
  </si>
  <si>
    <t>3.56</t>
  </si>
  <si>
    <t>Fornecimento e Instalação de Disjuntor Tripolar de 125A-380V-5kA - Curva C</t>
  </si>
  <si>
    <t>8078/ORSE</t>
  </si>
  <si>
    <t>3.57</t>
  </si>
  <si>
    <t>Fornecimento e Instalação de Disjuntor Tripolar de 150A-380V-5kA - Curva C</t>
  </si>
  <si>
    <t>8420/ORSE</t>
  </si>
  <si>
    <t>3.58</t>
  </si>
  <si>
    <t>Fornecimento e Instalação de Disjuntor Tripolar de 200A-380V-5kA - Curva C</t>
  </si>
  <si>
    <t>Composição 71</t>
  </si>
  <si>
    <t>3.59</t>
  </si>
  <si>
    <t>3.60</t>
  </si>
  <si>
    <t>3.61</t>
  </si>
  <si>
    <t>3.62</t>
  </si>
  <si>
    <t>Fornecimento e instalação de Bloco de distribuição modular tetrapolar de 160 A ICC 27Ka com 15 ligações por barra. Com placa de fundo isolante e tampa de proteção transparente, auto estinguível a 960ºC. Para fixação em trilho DIN.</t>
  </si>
  <si>
    <t>3.63</t>
  </si>
  <si>
    <t>3.64</t>
  </si>
  <si>
    <t>3.65</t>
  </si>
  <si>
    <t>Fornecimento e Instalação de Mão Francesa Reforçada 400mm</t>
  </si>
  <si>
    <t>3.66</t>
  </si>
  <si>
    <t>Fornecimento e instalação de Perfilado Perfurado (6000x38x38)mm - chapa 16</t>
  </si>
  <si>
    <t>Composição 65</t>
  </si>
  <si>
    <t>3.67</t>
  </si>
  <si>
    <t>Fornecimento e instalação de Emenda interna "I"  (38x38)mm - chapa 16</t>
  </si>
  <si>
    <t>3.68</t>
  </si>
  <si>
    <t>Fornecimento e instalação de Emenda Interna "L" (38x38)mm - chapa 16</t>
  </si>
  <si>
    <t>3.69</t>
  </si>
  <si>
    <t>Fornecimento e instalação de Emenda Interna "T" (38x38)mm - chapa 16</t>
  </si>
  <si>
    <t>Composição 68</t>
  </si>
  <si>
    <t>3.70</t>
  </si>
  <si>
    <t>Fornecimento e instalação de Emenda Interna "X" (38x38)mm - chapa 16</t>
  </si>
  <si>
    <t>Composição 69</t>
  </si>
  <si>
    <t>3.71</t>
  </si>
  <si>
    <t>Fornecimento e instalação de Gancho longo para perfilado - chapa 16</t>
  </si>
  <si>
    <t>3.72</t>
  </si>
  <si>
    <t>Fornecimento e instalação de Saída simples para eletroduto 1/2" - chapa 3/16"</t>
  </si>
  <si>
    <t>Composição 93</t>
  </si>
  <si>
    <t>3.73</t>
  </si>
  <si>
    <t>Fornecimento e instalação de Saída final para eletroduto 3/4" - chapa 3/16"</t>
  </si>
  <si>
    <t>Composição 94</t>
  </si>
  <si>
    <t>3.74</t>
  </si>
  <si>
    <t>Fornecimento e instalação de Caixa para tomada para perfilado - chapa 16</t>
  </si>
  <si>
    <t>Composição 95</t>
  </si>
  <si>
    <t>3.75</t>
  </si>
  <si>
    <t>Fornecimento e instalação de Curva de inversão de 90º para perfilado (38x38)mm - chapa 16</t>
  </si>
  <si>
    <t xml:space="preserve">Composição 57 </t>
  </si>
  <si>
    <t>3.76</t>
  </si>
  <si>
    <t>Fornecimento e instalação de Parafuso cabeça lentilha autotravante (3/8"x3/4")</t>
  </si>
  <si>
    <t>Composição 60</t>
  </si>
  <si>
    <t>3.77</t>
  </si>
  <si>
    <t>Fornecimento e instalação de Parafuso cabeça lentilha autotravante (1/4"x3/4").</t>
  </si>
  <si>
    <t>Composição 61</t>
  </si>
  <si>
    <t>3.78</t>
  </si>
  <si>
    <t>Fornecimento e instalação de Porcas sextavada 3/8"</t>
  </si>
  <si>
    <t xml:space="preserve">Composição 58 </t>
  </si>
  <si>
    <t>3.79</t>
  </si>
  <si>
    <t>Fornecimento e instalação de Porcas sextavada 1/4"</t>
  </si>
  <si>
    <t>3.80</t>
  </si>
  <si>
    <t>Fornecimento e instalação de Arruela lisa de 3/8"</t>
  </si>
  <si>
    <t>Composição 59</t>
  </si>
  <si>
    <t>3.81</t>
  </si>
  <si>
    <t>Fornecimento e instalação de Arruela lisa de 1/4"</t>
  </si>
  <si>
    <t>3.82</t>
  </si>
  <si>
    <t>3.83</t>
  </si>
  <si>
    <t>3.84</t>
  </si>
  <si>
    <t xml:space="preserve">Fornecimento e instalação de eletrocalha perfurada 200x100x3000mm </t>
  </si>
  <si>
    <t>3.85</t>
  </si>
  <si>
    <t>Fornecimento e instalção de Curva horizontal de 90º (200x100)mm - chapa 16</t>
  </si>
  <si>
    <t>07144/ORSE</t>
  </si>
  <si>
    <t>3.86</t>
  </si>
  <si>
    <t>3.87</t>
  </si>
  <si>
    <t>Fornecimento e instalação de Desvio à esquerda, 45º perfurado (200x100) chapa 16</t>
  </si>
  <si>
    <t>Composição 70</t>
  </si>
  <si>
    <t>3.88</t>
  </si>
  <si>
    <t>Fornecimento e Instalação de Redução concentrica Perfurada (200x50x100x50) - chapa16</t>
  </si>
  <si>
    <t>08224/ORSE</t>
  </si>
  <si>
    <t>3.89</t>
  </si>
  <si>
    <t>Fornecimento e instalação de Emenda interna 100x100mm perfurada - chapa 16</t>
  </si>
  <si>
    <t>3.90</t>
  </si>
  <si>
    <t>Fornecimento e instalação de Emenda interna 200x100mm perfurada - chapa 16</t>
  </si>
  <si>
    <t>3.91</t>
  </si>
  <si>
    <t>3.92</t>
  </si>
  <si>
    <t>Fornecimento e instalação de Bucha de Acabamento em Liga de Aluminio Silicito 1/2¨</t>
  </si>
  <si>
    <t>Composição 67</t>
  </si>
  <si>
    <t>3.93</t>
  </si>
  <si>
    <t>Fornecimento e instalação de Eletroduto PVC ( 25mm)</t>
  </si>
  <si>
    <t>3.94</t>
  </si>
  <si>
    <t>Fornecimento e instalação de Curva 90º para eletroduto PVC 3/4"</t>
  </si>
  <si>
    <t>3.95</t>
  </si>
  <si>
    <t>Fornecimento e instalação de Luva para Eletroduto PVC 3/4"</t>
  </si>
  <si>
    <t>3.96</t>
  </si>
  <si>
    <t>3.97</t>
  </si>
  <si>
    <t>Curva Horizontal de 45º lisa de 100 x 100mm - chapa 16</t>
  </si>
  <si>
    <t xml:space="preserve">Composição 10 </t>
  </si>
  <si>
    <t>3.98</t>
  </si>
  <si>
    <t>Fornecimento e instalação de Emenda interna lisa 100x100mm perfurada - chapa 16</t>
  </si>
  <si>
    <t>3.99</t>
  </si>
  <si>
    <t>Fornecimento e instalação de Emenda interna lisa 200x100mm perfurada - chapa 16</t>
  </si>
  <si>
    <t>3.100</t>
  </si>
  <si>
    <t>Fornecimento e instalação de Barra roscada 1/4¨x 3000mm</t>
  </si>
  <si>
    <t>Fornecimento e instalação de dispositivo DR, bipolar 25A-250V-30mA</t>
  </si>
  <si>
    <t>07996/ORSE</t>
  </si>
  <si>
    <t>3.103</t>
  </si>
  <si>
    <t>3.104</t>
  </si>
  <si>
    <t>Fornecimento e instalação de Fornecimento e instalação de cabo PP 3x1.5 mm² 750V</t>
  </si>
  <si>
    <t>Composição 155</t>
  </si>
  <si>
    <t>3.105</t>
  </si>
  <si>
    <t>Fornecimento e instalação de Plugue 2P+T padrao brasileiro NBR 14136, cinza, 10A, 250 V , pino cilíndrico</t>
  </si>
  <si>
    <t>Composição 146</t>
  </si>
  <si>
    <t>BLOCO DE ELETRÔNICA 1º, 2º E 3º PAVIMENTO</t>
  </si>
  <si>
    <t>Fornecimento e Instalação de Eletroduto em PVC rigido soldavel classe B cinza claro 25mm (NBR 6150), Aparente</t>
  </si>
  <si>
    <t>Fornecimento e Instalação de Cabo Flexível 450/750 V BWF Antiflam 1,5 mm² - vermelho</t>
  </si>
  <si>
    <t>Fornecimento e Instalação de Cabo Flexível 450/750 V BWF Antiflam 1,5 mm² - azul claro</t>
  </si>
  <si>
    <t>Fornecimento e Instalação de Cabo Flexível  450/750 V BWF Antiflam 1,5 mm²- cinza</t>
  </si>
  <si>
    <t>Fornecimento e Instalação de Cabo Flexível  450/750 V BWF Antiflam 2,5 mm² - preto</t>
  </si>
  <si>
    <t>Fornecimento e Instalação de Cabo Flexível 450/750 V BWF Antiflam 2,5 mm² - azul escuro</t>
  </si>
  <si>
    <t>Fornecimento e Instalação de Cabo Flexível  450/750 V BWF Antiflam 2,5 mm² - Verde</t>
  </si>
  <si>
    <t>Fornecimento e lançamento de Cabo Flexível 450/750 V BWF Antiflam 4,00 mm² - Preto</t>
  </si>
  <si>
    <t>Fornecimento e lançamento de Cabo Flexível  450/750 V BWF Antiflam 4,00mm² - Azul escuro</t>
  </si>
  <si>
    <t>Fornecimento e lançamento de Cabo Flexível 450/750 V BWF Antiflam 4,00 mm² - Verde</t>
  </si>
  <si>
    <t>Fornecimento e Instalação Caixa condumulti em PVC, anti-chama cinza clara com 6 entradas de eletroduto (1/2"x 3/4")c/ Tampa</t>
  </si>
  <si>
    <t>Fornecimento e instalação de Tampa em pvc rigido anti-chama cinza claro com 1 modulo para caixa 1/2 e 3/4</t>
  </si>
  <si>
    <t>Fornecimento e instalação de Tampa em pvc rigido anti-chama cinza claro com 2 modulo para caixa 1/2 e 3/4</t>
  </si>
  <si>
    <t>Fornecimento e instalação de Tampa em pvc rigido anti-chama cinza claro com 3 modulo para caixa 1/2 e 3/4</t>
  </si>
  <si>
    <t>Composição 63</t>
  </si>
  <si>
    <t>Fornecimento e Instalação de Luminária de sobrepor (2x25w) com corpo em chapa de alumínio - FAN02-S228 - Sem Aleta</t>
  </si>
  <si>
    <t>Fornecimento e Instalação de Luminaria de sobrepor (2x25w) com corpo de aluminio, regua perfurada em chapa de aço - FAA02-S228 - Com Aleta</t>
  </si>
  <si>
    <t>Fornecimento e Instalação de LUMINARIA LUMICENTER FCN01-S128 (1x25w).</t>
  </si>
  <si>
    <t>Fornecimento e Instalação de Reator BASIC T5 220V com perda de 10W</t>
  </si>
  <si>
    <t>Fornecimento e Instalação de Lâmpada fluorescente PHILIPS T5 25W</t>
  </si>
  <si>
    <t>Fornecimento e Instalação de Lampadas Mini compactas eletrônicas DULUXSTAR COMPACT E27 25W</t>
  </si>
  <si>
    <t>Fornecimento e instalação de Adaptador Cinza Claro 1/2" P/ Caixa 1/2"-3/4"</t>
  </si>
  <si>
    <t>Fornecimento e Instalação de Curva 90 para Eletroduto PVC rigido soldavel classe B 25mm (NBR 6150)</t>
  </si>
  <si>
    <t>Fornecimento e Instalação de Disjuntor unipolar de 10A-220V-5KA-curva C</t>
  </si>
  <si>
    <t>Composição 79</t>
  </si>
  <si>
    <t>Fornecimento e Instalação de Disjuntor unipolar de 20A-220V-5KA-curva C</t>
  </si>
  <si>
    <t>08417/ORSE</t>
  </si>
  <si>
    <t>Fornecimento e Instalação de Disjuntor unipolar de 16A-220V-5KA-curva C</t>
  </si>
  <si>
    <t>Fornecimento e Instalação de Disjuntor unipolar de 25A-220V-5KA-curva C</t>
  </si>
  <si>
    <t>4.35</t>
  </si>
  <si>
    <t>Fornecimento e Instalação de Disjuntor tripolar de 20A-380V-5KA- curva C</t>
  </si>
  <si>
    <t>Composição 80</t>
  </si>
  <si>
    <t>4.36</t>
  </si>
  <si>
    <t>Fornecimento e Instalação de Disjuntor tripolar de 25A-380V-5KA- curva C</t>
  </si>
  <si>
    <t>4.37</t>
  </si>
  <si>
    <t>Fornecimento e Instalação de Disjuntor tripolar em caixa moldada de 160A-380-10KA</t>
  </si>
  <si>
    <t>Composição 83</t>
  </si>
  <si>
    <t>4.38</t>
  </si>
  <si>
    <t>Fornecimento de Perfilado Perfurado (6000x38x38) - Chapa 16</t>
  </si>
  <si>
    <t>4.39</t>
  </si>
  <si>
    <t>Fornecimento e instalação de Emenda Interna "I" (38x38) - Chapa 16</t>
  </si>
  <si>
    <t>4.40</t>
  </si>
  <si>
    <t>Fornecimento e instalação de Emenda Interna "L" (38x38) - Chapa 16</t>
  </si>
  <si>
    <t>4.41</t>
  </si>
  <si>
    <t>Fornecimento e instalação de Emenda Interna "T" (38x38) - Chapa 16</t>
  </si>
  <si>
    <t>4.42</t>
  </si>
  <si>
    <t>Fornecimento e instalação de Emenda Interna "X" (38x38) - Chapa 16</t>
  </si>
  <si>
    <t>4.43</t>
  </si>
  <si>
    <t>4.44</t>
  </si>
  <si>
    <t>Fornecimento e instalação de Saída Final para Eletroduto 1/2" - Chapa 3/16"</t>
  </si>
  <si>
    <t>4.45</t>
  </si>
  <si>
    <t>Fornecimento e instalação de Curva horizontal de 90º para perfilado (38x38)mm - chapa 16</t>
  </si>
  <si>
    <t>Composição 157</t>
  </si>
  <si>
    <t>4.46</t>
  </si>
  <si>
    <t>Fornecimento e instalação de Curva de Inversão 90º para perfilado (38x38) - Chapa 16</t>
  </si>
  <si>
    <t>4.47</t>
  </si>
  <si>
    <t>4.48</t>
  </si>
  <si>
    <t>Fornecimento e instalação de Parafuso cabeça lentilha autotravante (1/4"x3/4")</t>
  </si>
  <si>
    <t>4.49</t>
  </si>
  <si>
    <t>4.50</t>
  </si>
  <si>
    <t>4.51</t>
  </si>
  <si>
    <t>4.52</t>
  </si>
  <si>
    <t>4.53</t>
  </si>
  <si>
    <t>4.54</t>
  </si>
  <si>
    <t>4.55</t>
  </si>
  <si>
    <t>Fornecimento e instalação de Eletrocalha perfurada (3000x200x100)mm - chapa 16</t>
  </si>
  <si>
    <t>4.56</t>
  </si>
  <si>
    <t>Fornecimento e instalação de Tê vertical de descida lateral  perfurado chapa 16</t>
  </si>
  <si>
    <t>4.57</t>
  </si>
  <si>
    <t>Fornecimento e instalação de Acoplamento de Eletrocalha para perfilado (38x38) - Chapa 16</t>
  </si>
  <si>
    <t>Composição 154</t>
  </si>
  <si>
    <t>4.58</t>
  </si>
  <si>
    <t>Fornecimento e instalação de Bucha de Alumínio para saída de Eletroduto 1/2"</t>
  </si>
  <si>
    <t>4.59</t>
  </si>
  <si>
    <t>Fornecimento e instalação de Arruela de Alumíno para Saída de Eletroduto 1/2"</t>
  </si>
  <si>
    <t>4.60</t>
  </si>
  <si>
    <t>4.61</t>
  </si>
  <si>
    <t>4.62</t>
  </si>
  <si>
    <t>4.63</t>
  </si>
  <si>
    <t>4.64</t>
  </si>
  <si>
    <t>Fornecimento e instalação de Bloco de distribuição modular tetrapolar de 160 A ICC 27Ka com 7 ligações por barra. Com placa de fundo isolante e tampa de proteção transparente, auto estinguível a 960ºC. Para fixação em trilho DIN.</t>
  </si>
  <si>
    <t>4.65</t>
  </si>
  <si>
    <t>4.66</t>
  </si>
  <si>
    <t>Fornecimento e Instalação de DR 25</t>
  </si>
  <si>
    <t>4.67</t>
  </si>
  <si>
    <t>4.68</t>
  </si>
  <si>
    <t>4.69</t>
  </si>
  <si>
    <t>Fornecimento e instalação de cabo PP 3x1.5 mm² 750V</t>
  </si>
  <si>
    <t>4.70</t>
  </si>
  <si>
    <t>BLOCO PRINCIPAL - TÉRREO, 1º PAV. E 2º PAV.</t>
  </si>
  <si>
    <t>Fornecimento e instalação de Tampa em PVC rígido anti-chama cinza claro com 2 módulos para caixa 1/2" x 3/4"</t>
  </si>
  <si>
    <t>Fornecimento e instalação  Ponto Interruptor triplo 20A-250V sem placa</t>
  </si>
  <si>
    <t>Composição 97</t>
  </si>
  <si>
    <t xml:space="preserve">Fornecimento e instalação de Ponto deTomada Dupla de 20A-220V </t>
  </si>
  <si>
    <t>Fornecimento e Instalação de Luminária Luminicenter FCN01-S128</t>
  </si>
  <si>
    <t>Fornecimento e Instalação de Adaptador cinza claro para caixa 1/2" - 3/4"</t>
  </si>
  <si>
    <t>Fornecimento e instalação de Quadro de Comando  de 1200X760X220mm Com Pintura Epóxi na Cor Bege Grau de proteção IP 54, Com Placa de Montagem na cor Laranja-Cemar</t>
  </si>
  <si>
    <t>Composição 147</t>
  </si>
  <si>
    <t>Cabo de cobre nú 35 mm² - fornecimento e assentamento</t>
  </si>
  <si>
    <t>09392/ORSE</t>
  </si>
  <si>
    <t>Cabo de cobre isolado em EPR flexível unipolar 70mm² - 0,6Kv/1Kv/90º</t>
  </si>
  <si>
    <t>08071/ORSE</t>
  </si>
  <si>
    <t>5.39</t>
  </si>
  <si>
    <t>Composição 84</t>
  </si>
  <si>
    <t>5.40</t>
  </si>
  <si>
    <t>5.41</t>
  </si>
  <si>
    <t>5.42</t>
  </si>
  <si>
    <t xml:space="preserve">Fornecimento e instalação de Perfilado Perfurado 38x38mm Chapa 16-Cemar </t>
  </si>
  <si>
    <t>5.43</t>
  </si>
  <si>
    <t>Fornecimento e instalação de Emenda interna "I" (38x38)mm - chapa 16</t>
  </si>
  <si>
    <t>5.44</t>
  </si>
  <si>
    <t>Fornecimento e instalação de Emenda Interna "L" 38x38mm - chapa 16</t>
  </si>
  <si>
    <t>5.45</t>
  </si>
  <si>
    <t>Fornecimento e instalação de Emenda Interna "T" 38x38mm - chapa 16</t>
  </si>
  <si>
    <t>5.46</t>
  </si>
  <si>
    <t>Fornecimento e instalação de Emenda Interna "X" 38x38mm - chapa 16</t>
  </si>
  <si>
    <t>5.47</t>
  </si>
  <si>
    <t>5.48</t>
  </si>
  <si>
    <t>5.49</t>
  </si>
  <si>
    <t>5.50</t>
  </si>
  <si>
    <t>5.51</t>
  </si>
  <si>
    <t>5.52</t>
  </si>
  <si>
    <t>5.53</t>
  </si>
  <si>
    <t>5.54</t>
  </si>
  <si>
    <t>5.55</t>
  </si>
  <si>
    <t>5.56</t>
  </si>
  <si>
    <t>5.57</t>
  </si>
  <si>
    <t>5.58</t>
  </si>
  <si>
    <t>Fornecimento e instalação de Tê horizontal 90º 300x100mm - chapa 16</t>
  </si>
  <si>
    <t>5.59</t>
  </si>
  <si>
    <t>5.60</t>
  </si>
  <si>
    <t>Fornecimento e instalação de Eletrocalha perfurada 100x100x3000mm - chapa 16</t>
  </si>
  <si>
    <t>08684/ORSE</t>
  </si>
  <si>
    <t>5.61</t>
  </si>
  <si>
    <t>5.62</t>
  </si>
  <si>
    <t>5.63</t>
  </si>
  <si>
    <t>Fornecimento e instalação de Emenda interna 300x100mm - chapa 16</t>
  </si>
  <si>
    <t xml:space="preserve">Composição 66 </t>
  </si>
  <si>
    <t>5.64</t>
  </si>
  <si>
    <t>5.65</t>
  </si>
  <si>
    <t>Fornecimento e instalação de Bucha de Acabamento em Liga de Aluminio Silicito 3/4"</t>
  </si>
  <si>
    <t xml:space="preserve">Composição 67 </t>
  </si>
  <si>
    <t>5.66</t>
  </si>
  <si>
    <t>5.67</t>
  </si>
  <si>
    <t>Fornecimento e instalação de Curva 45° Para Eletroduto PVC Rígido Soldável Classe B 25mm (NBR-6150)</t>
  </si>
  <si>
    <t>Composição 7</t>
  </si>
  <si>
    <t>5.68</t>
  </si>
  <si>
    <t>5.69</t>
  </si>
  <si>
    <t>5.70</t>
  </si>
  <si>
    <t>5.71</t>
  </si>
  <si>
    <t>5.72</t>
  </si>
  <si>
    <t>5.73</t>
  </si>
  <si>
    <t>5.74</t>
  </si>
  <si>
    <t>Caixa para tomada padrão brasileiro - Chapa 18</t>
  </si>
  <si>
    <t>5.75</t>
  </si>
  <si>
    <t>5.76</t>
  </si>
  <si>
    <t>5.77</t>
  </si>
  <si>
    <t>CAMPO</t>
  </si>
  <si>
    <t>Fornecimento e instalação de Eletroduto de PVC rígido Roscável(100mm), incluso fornecimento e instalação.</t>
  </si>
  <si>
    <t>55868/SINAPI</t>
  </si>
  <si>
    <t>6.2</t>
  </si>
  <si>
    <t>Fornecimento e assentamento de Cabo de cobre nú - 70mm²</t>
  </si>
  <si>
    <t>Composição 98</t>
  </si>
  <si>
    <t>6.3</t>
  </si>
  <si>
    <t>Fornecimento e assentamento de Cabo de cobre nú - 35mm²</t>
  </si>
  <si>
    <t>07916/ORSE</t>
  </si>
  <si>
    <t>6.4</t>
  </si>
  <si>
    <t>Escavação manual</t>
  </si>
  <si>
    <t>78018/SINAPI</t>
  </si>
  <si>
    <t>6.5</t>
  </si>
  <si>
    <t>Fornecimento e instação de cabos de cobre flexível, isolado em PVC para 0,6/1kva, 70mm² - Preto</t>
  </si>
  <si>
    <t>6.6</t>
  </si>
  <si>
    <t>Fornecimento e instação de cabos de cobre flexível, isolado em PVC para 0,6/1kva, 70mm² - Azul</t>
  </si>
  <si>
    <t>Composição 99</t>
  </si>
  <si>
    <t>6.7</t>
  </si>
  <si>
    <t>Fornecimento e instação de cabos de cobre flexível, isolado em PVC para 0,6/1kva, 50mm² - Preto</t>
  </si>
  <si>
    <t>Composição 100</t>
  </si>
  <si>
    <t>6.8</t>
  </si>
  <si>
    <t>Fornecimento e instação de cabos de cobre flexível, isolado em PVC para 0,6/1kva, 50mm² - Azul</t>
  </si>
  <si>
    <t>Composição 101</t>
  </si>
  <si>
    <t>6.9</t>
  </si>
  <si>
    <t>Fornecimento e instação de cabos de cobre flexível, isolado em PVC para 0,6/1kva, 4mm² - Preto</t>
  </si>
  <si>
    <t>6.10</t>
  </si>
  <si>
    <t>Fornecimento e instação de cabos de cobre flexível, isolado em PVC para 0,6/1kva, 4mm² - Azul</t>
  </si>
  <si>
    <t>6.11</t>
  </si>
  <si>
    <t>Fornecimento e instação de cabos de cobre flexível, isolado em PVC para 0,6/1kva, 4mm² - Verde</t>
  </si>
  <si>
    <t>6.12</t>
  </si>
  <si>
    <t>Fornecimento e Instalação de Projetores Circulares</t>
  </si>
  <si>
    <t>Composição 102</t>
  </si>
  <si>
    <t>6.13</t>
  </si>
  <si>
    <t>Fornecimento e Instalação de Lâmpada de vapor metálico 1000W</t>
  </si>
  <si>
    <t>Composição 103</t>
  </si>
  <si>
    <t>6.14</t>
  </si>
  <si>
    <t>Fornecimento e Instalação de Reator de alto fator de potência (&gt;= 0,9), para lâmpada multivapores metálicos, 1000W/220V, com ignitor incorporado.</t>
  </si>
  <si>
    <t>Composição 104</t>
  </si>
  <si>
    <t>6.15</t>
  </si>
  <si>
    <t>Fornecimento e instalação de Disjuntor  tripolar em Caixa Moldada de 160A,380 - 415V - 65KA.</t>
  </si>
  <si>
    <t>Composição 105</t>
  </si>
  <si>
    <t>6.16</t>
  </si>
  <si>
    <t>Fornecimento e instalação de Disjuntor Termomagnético tripolar Tipo DIN, 80A/380V/10kA</t>
  </si>
  <si>
    <t>Composição 106</t>
  </si>
  <si>
    <t>6.17</t>
  </si>
  <si>
    <t>Fornecimento e instalação de Disjuntor Termomagnético Trifásico Tipo DIN, curva "C", 20A/380V/5kA</t>
  </si>
  <si>
    <t>Composição 107</t>
  </si>
  <si>
    <t>6.18</t>
  </si>
  <si>
    <t>Fornecimento e instalação de Disjuntor Termomagnético Monofásico Tipo DIN, curva "C" 16A/380V/5kA</t>
  </si>
  <si>
    <t>Composição 108</t>
  </si>
  <si>
    <t>6.19</t>
  </si>
  <si>
    <t>Fornecimento e instalação de Quadro de Comando com dimensões AXLXP, 80x50x20 com chapa de montagem na cor laranja nas dimensões AXL 75x45, grau de proteção IP54</t>
  </si>
  <si>
    <t>Composição 140</t>
  </si>
  <si>
    <t>QUADRA DE AREIA</t>
  </si>
  <si>
    <t>Eletroduto de PVC rígido Roscável(500mm), incluso fornecimento e instalação.</t>
  </si>
  <si>
    <t>7.3</t>
  </si>
  <si>
    <t>7.4</t>
  </si>
  <si>
    <t>7.5</t>
  </si>
  <si>
    <t>Demolição de piso de alta resistência</t>
  </si>
  <si>
    <t>73801/001-SINAPI</t>
  </si>
  <si>
    <t>7.6</t>
  </si>
  <si>
    <t>7.7</t>
  </si>
  <si>
    <t xml:space="preserve">Fornecimento e instalação de projetor retangular com lâmpada vapor metálico de 400W e reator </t>
  </si>
  <si>
    <t>04096/ORSE</t>
  </si>
  <si>
    <t>7.8</t>
  </si>
  <si>
    <t>Poste de concreto, seção circular, comprimento=11m e carga nominal 200kg inclusive escavação - fornecimento e transporte</t>
  </si>
  <si>
    <t>73783/008-SINAPI</t>
  </si>
  <si>
    <t>ESTACIONAMENTO</t>
  </si>
  <si>
    <t>Fornecimento e instalação de Duto corrugado flexível em PEAD Ø = 1.1/4', tipo Kanalex ou similar, lançado diretamente no solo, exclusive escavação e reaterro.</t>
  </si>
  <si>
    <t>03770/ORSE</t>
  </si>
  <si>
    <t>8.2</t>
  </si>
  <si>
    <t>Fornecimento e instalação de Duto corrugado flexível em PEAD Ø = 2" tipo Kanalex ou similar, lançado diretamente no solo, exclusive escavação e reaterro.</t>
  </si>
  <si>
    <t>03767/ORSE</t>
  </si>
  <si>
    <t>8.3</t>
  </si>
  <si>
    <t>Fornecimento e instalação de Duto corrugado flexível em PEAD Ø = 3" tipo Kanalex ou similar, lançado diretamente no solo, exclusive escavação e reaterro.</t>
  </si>
  <si>
    <t>8.4</t>
  </si>
  <si>
    <t>8.5</t>
  </si>
  <si>
    <t>8.6</t>
  </si>
  <si>
    <t xml:space="preserve">Composição 3 </t>
  </si>
  <si>
    <t>8.7</t>
  </si>
  <si>
    <t>Confecção de Caixas de passagens em alvenaria. (50x50x50)cm</t>
  </si>
  <si>
    <t>8.7.1</t>
  </si>
  <si>
    <t>Alvenaria</t>
  </si>
  <si>
    <t>73982/001- SINAPII</t>
  </si>
  <si>
    <t>8.7.2</t>
  </si>
  <si>
    <t>Reboco</t>
  </si>
  <si>
    <t>5995- SINAPII</t>
  </si>
  <si>
    <t>8.7.3</t>
  </si>
  <si>
    <t>Chapisco - traço 1:3, esp.: 5mm</t>
  </si>
  <si>
    <t>73928/002- SINAPII</t>
  </si>
  <si>
    <t>8.7.4</t>
  </si>
  <si>
    <t>Tampa em concreto armado (50x50x5)cm</t>
  </si>
  <si>
    <t>8.8</t>
  </si>
  <si>
    <t>Base em alvenaria para fixação dos balizadores</t>
  </si>
  <si>
    <t>8.8.1</t>
  </si>
  <si>
    <t>Cód. 73982/001</t>
  </si>
  <si>
    <t>8.8.2</t>
  </si>
  <si>
    <t>Cód. 5995</t>
  </si>
  <si>
    <t>8.8.3</t>
  </si>
  <si>
    <t>Cód. 73928/002</t>
  </si>
  <si>
    <t>8.9</t>
  </si>
  <si>
    <t>Caixa em alvenaria para as luminárias( .20x.20x.30cm)</t>
  </si>
  <si>
    <t>8.9.1</t>
  </si>
  <si>
    <t>8.9.2</t>
  </si>
  <si>
    <t>8.9.3</t>
  </si>
  <si>
    <t>8.10</t>
  </si>
  <si>
    <t>Fornecimento e Assentamento de Poste decorativo reto, h=3,00m, em ferro galvanizado inclusive base (Luminance/Tecnolux ou similar)</t>
  </si>
  <si>
    <t>09495/ORSE</t>
  </si>
  <si>
    <t>8.11</t>
  </si>
  <si>
    <t>Fornecimento e instalaçao de luminárias Circulares para postes, com encaixe para Reator.</t>
  </si>
  <si>
    <t>Composição 137</t>
  </si>
  <si>
    <t>8.12</t>
  </si>
  <si>
    <t>Fornecimento e instalaçao de lâmpadas de multivapores metálicos 70W</t>
  </si>
  <si>
    <t>Composição 138</t>
  </si>
  <si>
    <t>8.13</t>
  </si>
  <si>
    <t>Fornecimento e Instalação de Reator de alto fator de potência (&gt;= 0,9), para lâmpada multivapores metálicos, 70W/220V, com ignitor incorporado.</t>
  </si>
  <si>
    <t>Composição 139</t>
  </si>
  <si>
    <t>8.14</t>
  </si>
  <si>
    <t>Demolição de postes de concreto existentes</t>
  </si>
  <si>
    <t>72216- SINAPII</t>
  </si>
  <si>
    <t>8.15</t>
  </si>
  <si>
    <t>Fornecimento e intalação de Balizador de alumínio,de embutir,  c/ lampada 4W LED.</t>
  </si>
  <si>
    <t>07267/ORSE</t>
  </si>
  <si>
    <t>8.16</t>
  </si>
  <si>
    <t>Fornecimento e instação de Projetor c/ lâmpada 35W, incluso reator, ignitor e capacitor</t>
  </si>
  <si>
    <t>Composição 111</t>
  </si>
  <si>
    <t>8.17</t>
  </si>
  <si>
    <t>Fornecimento e instação de Luminária Circular, em alumínio 110-240V, 50-60HZ, com adaptador p/ lâmpada LED 4W com filtros vermelhos e verdes.</t>
  </si>
  <si>
    <t>Composição 112</t>
  </si>
  <si>
    <t>8.18</t>
  </si>
  <si>
    <t>Fornecimento e instação de Projetor em alumínio injetado a alta pressão com filtro, de embutir, com lâmpada de 20W e Reator 220-240 50/60HZ</t>
  </si>
  <si>
    <t>Composição 113</t>
  </si>
  <si>
    <t>8.19</t>
  </si>
  <si>
    <t>78018- SINAPII</t>
  </si>
  <si>
    <t>8.20</t>
  </si>
  <si>
    <t>Demolição de pavimentação asfáltica, inclusive transporte de material.</t>
  </si>
  <si>
    <t>72949- SINAPII</t>
  </si>
  <si>
    <t>EQUIPAMENTOS ESPECÍFICOS DA REDE ESTRUTURADA</t>
  </si>
  <si>
    <t>Fornecimento e instalação de NO - BREAK 15KVA - TRIFÁSICO - ENTRADA 380V - SAÍDA 110V</t>
  </si>
  <si>
    <t>Composição 114</t>
  </si>
  <si>
    <t>Fornecimento e instalação de NO - BREAK 1KVA – TIPO RACK – 1U</t>
  </si>
  <si>
    <t>Composição 115</t>
  </si>
  <si>
    <t>9.3</t>
  </si>
  <si>
    <t>Fornecimento e instalação de SWITCH CENTRAL – NÚCLEO DA REDE</t>
  </si>
  <si>
    <t>Composição 116</t>
  </si>
  <si>
    <t>9.4</t>
  </si>
  <si>
    <t>Fornecimento e instalação de SWITCH DE PONTA – DISTRIBUIÇÃO</t>
  </si>
  <si>
    <t>Composição 117</t>
  </si>
  <si>
    <t>9.5</t>
  </si>
  <si>
    <t>Fornecimento e instalação de SWITCH DE PONTA – ACESSO – TIPO 1 (POE)</t>
  </si>
  <si>
    <t>Composição 118</t>
  </si>
  <si>
    <t>9.6</t>
  </si>
  <si>
    <t>Fornecimento e instalação de MINI GBIC - FIBRA TRANSSEIVER</t>
  </si>
  <si>
    <t>Composição 119</t>
  </si>
  <si>
    <t>9.7</t>
  </si>
  <si>
    <t>Fornecimento e instalação de CÂMERA VÍDEO DE SEGURANÇA</t>
  </si>
  <si>
    <t>Composição 120</t>
  </si>
  <si>
    <t>9.8</t>
  </si>
  <si>
    <t>Fornecimento e instalação de SOFTWARE DE GESTÃO E GRAVAÇÃO DE IMAGENS</t>
  </si>
  <si>
    <t>Composição 121</t>
  </si>
  <si>
    <t>9.9</t>
  </si>
  <si>
    <t>Fornecimento e instalação de SERVIDOR DE REDE DE GRAVAÇÃO</t>
  </si>
  <si>
    <t>Composição 122</t>
  </si>
  <si>
    <t>9.10</t>
  </si>
  <si>
    <t>Fornecimento e instalação de Rack de parede fechado - 7U 19x570mm</t>
  </si>
  <si>
    <t>Composição 123</t>
  </si>
  <si>
    <t>9.11</t>
  </si>
  <si>
    <t>Fornecimento e instalação de Rack de piso fechado - 42U 19x1000mm</t>
  </si>
  <si>
    <t>Composição 124</t>
  </si>
  <si>
    <t xml:space="preserve"> ALIMENTAÇÃO DA REDE ELÉTRICA</t>
  </si>
  <si>
    <t>FORNECIMENTO E INSTALAÇÃO DE CABO ISOLADO EM COMPOSTO TERMOFIXO (HEPR)  DE 150mm² TIPO UNIPOLAR, ESP. NBR - 7286 ENCORDAMENTO CLASSE 5, TEMPERA MOLE, COR PRETO, TEMPERATURA DE OPERAÇÃO DE 90° E TENSÃO DE ISOLAMENTO DE 1KV</t>
  </si>
  <si>
    <t>08117/ORSE</t>
  </si>
  <si>
    <t>10.2</t>
  </si>
  <si>
    <t>FORNECIMENTO E INSTALAÇÃO DE CABO ISOLADO EM COMPOSTO TERMOFIXO (HEPR)  DE 95mm² TIPO UNIPOLAR, ESP. NBR - 7286 ENCORDAMENTO CLASSE 5, TEMPERA MOLE, COR PRETO, TEMPERATURA DE OPERAÇÃO DE 90° E TENSÃO DE ISOLAMENTO DE 1KV</t>
  </si>
  <si>
    <t>07918/ORSE</t>
  </si>
  <si>
    <t>10.3</t>
  </si>
  <si>
    <t>FORNECIMENTO E INSTALAÇÃO DE CABO ISOLADO EM COMPOSTO TERMOFIXO (HEPR)  DE 70mm² TIPO UNIPOLAR, ESP. NBR - 7286 ENCORDAMENTO CLASSE 5, TEMPERA MOLE, COR PRETO, TEMPERATURA DE OPERAÇÃO DE 90° E TENSÃO DE ISOLAMENTO DE 1KV</t>
  </si>
  <si>
    <t>10.4</t>
  </si>
  <si>
    <t>Fornecimento e instalação de Cabo de cobre NU de 95mm² formado por 7 fios, com encordoamento com formação classe 2, de acordo com a NBR 5349</t>
  </si>
  <si>
    <t>Quilo</t>
  </si>
  <si>
    <t>Composição 126</t>
  </si>
  <si>
    <t>10.5</t>
  </si>
  <si>
    <t>Fornecimento e instalação de Cabo de cobre NU de 50mm² formado por 7 fios, com encordoamento com formação classe 2, de acordo com a NBR 5349</t>
  </si>
  <si>
    <t>08082/ORSE</t>
  </si>
  <si>
    <t>10.6</t>
  </si>
  <si>
    <t>FORNECIMENTO E INSTALAÇÃO DE CABO ISOLADO EM COMPOSTO TERMOFIXO (HEPR)  DE 50mm² TIPO UNIPOLAR, ESP. NBR - 7286 ENCORDAMENTO CLASSE 5, TEMPERA MOLE, COR PRETO, TEMPERATURA DE OPERAÇÃO DE 90° E TENSÃO DE ISOLAMENTO DE 1KV</t>
  </si>
  <si>
    <t>07917/ORSE</t>
  </si>
  <si>
    <t>10.7</t>
  </si>
  <si>
    <t xml:space="preserve">Fornecimento e instalação de Eletroduto corrugado de  PEAD 5"  </t>
  </si>
  <si>
    <t>07151/ORSE</t>
  </si>
  <si>
    <t>10.8</t>
  </si>
  <si>
    <t>Fornecimento e instalação de Painel Modular 1700x800x800 com chapa de aço e pintura eletróestatica epox a pó, na cor cinza, (ral 7032). Com camada de 70 microns</t>
  </si>
  <si>
    <t>Composição 141</t>
  </si>
  <si>
    <t>10.9</t>
  </si>
  <si>
    <t>Fornecimento e instalação de Terminal de compressão para cabo de 150mm²</t>
  </si>
  <si>
    <t>07931/ORSE</t>
  </si>
  <si>
    <t>10.10</t>
  </si>
  <si>
    <t>Fornecimento e instalação de Conector de compressão para cabo de 95mm²</t>
  </si>
  <si>
    <t>07924/ORSE</t>
  </si>
  <si>
    <t>10.11</t>
  </si>
  <si>
    <t>Fornecimento e instalação de Conector de compressão para cabo de 70mm²</t>
  </si>
  <si>
    <t>07929/ORSE</t>
  </si>
  <si>
    <t>10.12</t>
  </si>
  <si>
    <t>Fornecimento e instalação de Conector de compressão para cabo de 50mm²</t>
  </si>
  <si>
    <t>07923/ORSE</t>
  </si>
  <si>
    <t>10.13</t>
  </si>
  <si>
    <t>Fornecimento e instalação de Disjuntor tripolar em Caixa Moldada de 125A, 415V - 10KA</t>
  </si>
  <si>
    <t>08078/ORSE</t>
  </si>
  <si>
    <t>10.14</t>
  </si>
  <si>
    <t>Fornecimento e instalação de Disjuntor  tripolar em Caixa Moldada de 500A, 380 - 415V - 55KA, Com regulagem de proteção termica (min 350 - max 500) e magnética (min 2500 - max 5000), com barras extensoras de conexão frontal.</t>
  </si>
  <si>
    <t>Composição 127</t>
  </si>
  <si>
    <t>10.15</t>
  </si>
  <si>
    <t>Fornecimento e instalação de Disjuntor  tripolar em Caixa Moldada de 250A,380 - 415V - 65KA, Com regulagem de proteção termica (min 160 - max 200) e magnética (min 1000 - max 2000)</t>
  </si>
  <si>
    <t>Composição 128</t>
  </si>
  <si>
    <t>10.16</t>
  </si>
  <si>
    <t>Fornecimento e instalação de Disjuntor  tripolar em Caixa Moldada de 315A, 415V - 65KA, Com regulagem de proteção termica (min 225 - max 320) e magnética (min 1600 - max 3200)</t>
  </si>
  <si>
    <t>Composição 129</t>
  </si>
  <si>
    <t>10.17</t>
  </si>
  <si>
    <t>Fornecimento e instalação de Perfil vertical PV 1700 com pinturar eletroestática epox  á pó na cor laranja (ral 2004.) camada de 60 microns</t>
  </si>
  <si>
    <t>Composição 130</t>
  </si>
  <si>
    <t>10.18</t>
  </si>
  <si>
    <t>Fornecimento e instalação de Longarina de montagem LM 8080 com pinturar eletroestática epox  á pó na cor laranja (ral 2004.) camada de 60 microns</t>
  </si>
  <si>
    <t>Composição 131</t>
  </si>
  <si>
    <t>10.19</t>
  </si>
  <si>
    <t>Fornecimento e instalação de Longarina de montagem LM 8060 com pinturar eletroestática epox  á pó na cor laranja (ral 2004.) camada de 60 microns</t>
  </si>
  <si>
    <t>Composição 132</t>
  </si>
  <si>
    <t>10.20</t>
  </si>
  <si>
    <t>Fornecimento e instalação de Longarina de montagem LM 8020 com pinturar eletroestática epox  á pó na cor laranja (ral 2004.) camada de 60 microns</t>
  </si>
  <si>
    <t>Composição 133</t>
  </si>
  <si>
    <t>10.21</t>
  </si>
  <si>
    <t>Fornecimento e instalação de Quadro de comando 1300x600x400 com chapa de aço e pinturar eletróestatica epox a pó, na cor cinza, (ral 7032). Com camada de 70 microns</t>
  </si>
  <si>
    <t>Composição 134</t>
  </si>
  <si>
    <t>10.22</t>
  </si>
  <si>
    <t>Fornecimento e instalação de eletrocalha 300x100mm</t>
  </si>
  <si>
    <t>00764/ORSE</t>
  </si>
  <si>
    <t>10.23</t>
  </si>
  <si>
    <t>Fornecimento e instalação de leito de 300x75mm</t>
  </si>
  <si>
    <t>Composição 135</t>
  </si>
  <si>
    <t>10.24</t>
  </si>
  <si>
    <t>Fornecimento e Instalação de Mão Francesa Reforçada (400</t>
  </si>
  <si>
    <t>10.25</t>
  </si>
  <si>
    <t>Fornecimento e instalação de bucha de nylon S-12</t>
  </si>
  <si>
    <t>10.26</t>
  </si>
  <si>
    <t>Fornecimento e instalação de parafuso Inox cabeça sextavada rosca soberba (3/8"x1/2")</t>
  </si>
  <si>
    <t>3302/ORSE</t>
  </si>
  <si>
    <t>10.27</t>
  </si>
  <si>
    <t>Confecção de cubículo em alvenaria para proteção de quadro do quadro de alimentação</t>
  </si>
  <si>
    <t>10.27.1</t>
  </si>
  <si>
    <t>73982/001 - SINAPII</t>
  </si>
  <si>
    <t>10.27.2</t>
  </si>
  <si>
    <t xml:space="preserve"> 5995/SINAPII</t>
  </si>
  <si>
    <t>10.28</t>
  </si>
  <si>
    <t>10.27.3</t>
  </si>
  <si>
    <t>Fornecimento e instalação de porta em alumínio com perciana de 0,80x2,10m.</t>
  </si>
  <si>
    <t>09470/ORSE</t>
  </si>
  <si>
    <t>10.27.4</t>
  </si>
  <si>
    <t>Fornecimento e instalação de Teto ventilado 800x800x800mm para painel modular</t>
  </si>
  <si>
    <t>Composição 136</t>
  </si>
  <si>
    <t>TOTAL SEM EQUIPAMENTOS ESPECÍFICOS DA REDE LÓGICA</t>
  </si>
  <si>
    <t xml:space="preserve">                           BDI NORMAL</t>
  </si>
  <si>
    <t>TOTAL COM BDI NORMAL</t>
  </si>
  <si>
    <t>TOTAL DOS SERVIÇOS ESPECÍFICOS DA REDE LÓGICA</t>
  </si>
  <si>
    <t xml:space="preserve">                               BDI DIFERENCIADO PARA OS SERVIÇOS ESPECÍFICOS DA REDE LÓGICA</t>
  </si>
  <si>
    <t>TOTAL COM BDI DIFERENCIADO</t>
  </si>
  <si>
    <t xml:space="preserve">TOTAL </t>
  </si>
  <si>
    <t>MEMÓRIA DE CÁLCULO</t>
  </si>
  <si>
    <t>DESCRIÇÃO</t>
  </si>
  <si>
    <t>QUANT.</t>
  </si>
  <si>
    <t>Placa de obra em chapa de aço galvanizado</t>
  </si>
  <si>
    <t>Considerou-se a área total da piscina do Campus Maceió.</t>
  </si>
  <si>
    <t>Demolição de concreto simples</t>
  </si>
  <si>
    <t>Área do Deck</t>
  </si>
  <si>
    <t>Foi estimada uma espessura de 0,08m multiplicada pela área do deck (33x23) subtraída a área da piscina (26,24x17,24)</t>
  </si>
  <si>
    <t>Área do muro a piscina</t>
  </si>
  <si>
    <t>Será necessário demolir o piso de cimento existente entre o muro e a piscina para passagem da tubulação do projeto de hidráulico, também foi estimada uma espessura de 0,08cm (10,4*1*0,08)</t>
  </si>
  <si>
    <t>Carga manual de entulho em caminhão basculante 6 m3</t>
  </si>
  <si>
    <t>Entulho proveniente da demolição a área do Deck foi considerando um coeficiente de empolamento de 50%</t>
  </si>
  <si>
    <t>Comprimento</t>
  </si>
  <si>
    <t>Largura</t>
  </si>
  <si>
    <t>Profundidade *</t>
  </si>
  <si>
    <t>Volume</t>
  </si>
  <si>
    <t>Estimativa da casa de bomba até o muro</t>
  </si>
  <si>
    <t>Estimativa do muro até a borda da piscina</t>
  </si>
  <si>
    <t>Estimativa da tubulação do fundo da piscina</t>
  </si>
  <si>
    <t>Estimativa da tubulação em volta da piscina</t>
  </si>
  <si>
    <t>Sapatas da coberta do banco</t>
  </si>
  <si>
    <t>Nomenclatura</t>
  </si>
  <si>
    <t>h0(m)</t>
  </si>
  <si>
    <t>H(m)</t>
  </si>
  <si>
    <t>A(m)</t>
  </si>
  <si>
    <t>a(m)</t>
  </si>
  <si>
    <t>B(m)</t>
  </si>
  <si>
    <t>b (m)</t>
  </si>
  <si>
    <t>Nº de Repetição</t>
  </si>
  <si>
    <t>Volume  total (m³)</t>
  </si>
  <si>
    <t>P1/ P6</t>
  </si>
  <si>
    <t>P2/ P3 /P4/ P5</t>
  </si>
  <si>
    <t xml:space="preserve">CORTE E DOBRA DE AÇO CA-50, DIÂMETRO DE 8.0 MM. </t>
  </si>
  <si>
    <t>informando no projeto estrutural</t>
  </si>
  <si>
    <t>Lançamento e adensamento</t>
  </si>
  <si>
    <t>semelhante ao volume de concreto</t>
  </si>
  <si>
    <t>Forma</t>
  </si>
  <si>
    <t>'=h0*(2A+2B)*(número de repetição)</t>
  </si>
  <si>
    <t>Para amarração do muro da Arquibancada: São 5 vão com 6,16m cadas</t>
  </si>
  <si>
    <t xml:space="preserve">Para amarração do muro da Arquibancada: Serão feitos 5 pilares intermediários, um em cada vão, com altura de 1 m </t>
  </si>
  <si>
    <t>Para amarração das cinta e pilares a estrutura existente: São 10 encontros da cinta com mais 5 encontros dos pilares. Cada encontro com uma área aproximada de 0,15*0,2</t>
  </si>
  <si>
    <t>Semelhante a área acima</t>
  </si>
  <si>
    <t>Estrutura para coberta dos bancos</t>
  </si>
  <si>
    <t>CA 60 Ø 5</t>
  </si>
  <si>
    <t>CA 50 Ø 8</t>
  </si>
  <si>
    <t>CA 50 Ø 10</t>
  </si>
  <si>
    <t>Formas m²</t>
  </si>
  <si>
    <t>Volume m³</t>
  </si>
  <si>
    <t>P1 P2 P 3 P 4 P5 P6 P7</t>
  </si>
  <si>
    <t>Viga da coberta</t>
  </si>
  <si>
    <t>V1 V2 V3 V4 V5 V6</t>
  </si>
  <si>
    <t>Total</t>
  </si>
  <si>
    <t>Tanque da piscina</t>
  </si>
  <si>
    <t>Área</t>
  </si>
  <si>
    <t>Lateral 1</t>
  </si>
  <si>
    <t>Lateral 2</t>
  </si>
  <si>
    <t>Fundo</t>
  </si>
  <si>
    <t>Chuveiro</t>
  </si>
  <si>
    <t>Guarda Raia</t>
  </si>
  <si>
    <t>Lateral</t>
  </si>
  <si>
    <t>Pódio</t>
  </si>
  <si>
    <t>Alvenaria de apoio do banco</t>
  </si>
  <si>
    <t>Frente</t>
  </si>
  <si>
    <t>Lateral interna da rampa</t>
  </si>
  <si>
    <t>Perímetro</t>
  </si>
  <si>
    <t>Recuperação da grade</t>
  </si>
  <si>
    <t>Impermeabilização</t>
  </si>
  <si>
    <t>Borda</t>
  </si>
  <si>
    <t>Mão de obra de projetista pleno - técnico de nível médio com 5 a 15 anos de experiência</t>
  </si>
  <si>
    <t>08861/ORSE</t>
  </si>
  <si>
    <t>Material de escritório</t>
  </si>
  <si>
    <t>10562/ORSE</t>
  </si>
  <si>
    <t>84026/SINAPI</t>
  </si>
  <si>
    <t>32 DESCRIÇÃO</t>
  </si>
  <si>
    <t>33 DESCRIÇÃO</t>
  </si>
  <si>
    <t>34 DESCRIÇÃO</t>
  </si>
  <si>
    <t>Fornecimento e Instalação de quina de borda cimentícia atérmica e antiderrapante modelo peito de pomba - Cinza</t>
  </si>
  <si>
    <t>Quina de borda cimentícia atérmica e antiderrapante modelo peito de pomba - Cinza</t>
  </si>
  <si>
    <t>borda cimentícia atérmica e antiderrapante modelo peito de pomba - Cinza</t>
  </si>
  <si>
    <t>ml</t>
  </si>
  <si>
    <t>Quadro de distribuição de sobrepor, com barramento, em chapa de aço, para 200A, 80X60X20cm, para 30 disjuntores (exceto os disjuntores)</t>
  </si>
  <si>
    <t>09283/ORSE</t>
  </si>
  <si>
    <t>Fornecimento e Instalação de registro de esfera 3/4" com alavanca 1/4" de volta.</t>
  </si>
  <si>
    <t>35 DESCRIÇÃO</t>
  </si>
  <si>
    <t>Fita veda rosca 18mm</t>
  </si>
  <si>
    <t>00981/ORSE</t>
  </si>
  <si>
    <t>ENCANADOR OU BOMBEIRO HIDRÁULICO COM ENCARGOS COMPLEMENTARES</t>
  </si>
  <si>
    <t>registro de esfera 3/4" com alavanca 1/4" de volta.</t>
  </si>
  <si>
    <t>36 DESCRIÇÃO</t>
  </si>
  <si>
    <t>Aplicação de Impermeabilizante para placas cimentícias.</t>
  </si>
  <si>
    <t>Lt</t>
  </si>
  <si>
    <t>Impermeabilizante para placas cimentícias</t>
  </si>
  <si>
    <t>Lt.</t>
  </si>
  <si>
    <t>Área da Rampa de Acesso a arquibancada</t>
  </si>
  <si>
    <t>Será necessário demolir o piso de cimento existente entre a piscina e o bloco de informática (acesso a arquibancada) para readequação da inclinação, conforme projeto arquitetônico. Foi considerado uma espessura de 0,08cm e a rampa tem forma de trapézio, sendo a base menor 3,77m, a maior 4,52 e uma altura de 18m, resultando numa área de 74.61m², ou seja, 5.96m³,</t>
  </si>
  <si>
    <t>CREA 02121337-2</t>
  </si>
  <si>
    <t>83738/SINAPI</t>
  </si>
  <si>
    <t>OBRA: OBRA DE REFORMA DA PISCINA SEMI-OLÍMPICA E ARQUIBANCADA DO CAMPUS MACEIÓ DO INSTITUTO FEDERAL DE ALAGOAS (IFAL)</t>
  </si>
  <si>
    <t>Fornecimento e Instalação de Grade em ABS para o fundo da piscina - modelo JEF280 da Jacuzzi ou tecnicamente equivalente</t>
  </si>
  <si>
    <t>37 DESCRIÇÃO</t>
  </si>
  <si>
    <t>Grade em ABS para piscina - modelo JEF280 da Jacuzzi ou Tecnicamente equivalente</t>
  </si>
  <si>
    <t>92270/SINAPI</t>
  </si>
  <si>
    <t>94970/SINAPI</t>
  </si>
  <si>
    <t>2692/SINAPI</t>
  </si>
  <si>
    <t>Luminária hermética de sobrepor para fluorescente tubular T5, 2x28w, IP65, modelo: Ourofort, ref.: 1527, da Ourolux ou similar</t>
  </si>
  <si>
    <t>38 DESCRIÇÃO</t>
  </si>
  <si>
    <t>Fornecimento e Instalação de Luminária hermética de sobrepor para lâmpada LED tubular T5, 2x12w, IP65, inclusive lampadas, modelo: Ourofort, ref.: 1527, da Ourolux ou similar</t>
  </si>
  <si>
    <t>12386/ORSE</t>
  </si>
  <si>
    <t>Lâmpada tubLED com tensão de entrada de 127 a té 220VCA, potência 12W, tem. de cor 5.700K, vida útil &gt;50.000 horas, da Ledstar-Unicoba ou similar</t>
  </si>
  <si>
    <t>11328/ORSE</t>
  </si>
  <si>
    <t>39 DESCRIÇÃO</t>
  </si>
  <si>
    <t>Fornecimento e Instalação de Adaptador PVC condulete 3/4"</t>
  </si>
  <si>
    <t>Adaptador PVC condulete 3/4"</t>
  </si>
  <si>
    <t>Variáveis</t>
  </si>
  <si>
    <t>Placa Padrão Governo Federal 4,0 x 2,5m</t>
  </si>
  <si>
    <t>Placa Responsáveis Técnicos 2,0 x 1,0m</t>
  </si>
  <si>
    <t>2.2.1</t>
  </si>
  <si>
    <t>2.2.2</t>
  </si>
  <si>
    <t>2.2.3</t>
  </si>
  <si>
    <t>2.2.4</t>
  </si>
  <si>
    <t>2.2.5</t>
  </si>
  <si>
    <t>2.2.6</t>
  </si>
  <si>
    <t>2.2.7</t>
  </si>
  <si>
    <t>2.2.8</t>
  </si>
  <si>
    <t>2.2.9</t>
  </si>
  <si>
    <t>2.2.10</t>
  </si>
  <si>
    <t>2.2.11</t>
  </si>
  <si>
    <t>2.2.12</t>
  </si>
  <si>
    <t>2.2.13</t>
  </si>
  <si>
    <t>2.2.14</t>
  </si>
  <si>
    <t>40 DESCRIÇÃO</t>
  </si>
  <si>
    <t>Blocos de Partida</t>
  </si>
  <si>
    <t>6.20</t>
  </si>
  <si>
    <t>6.21</t>
  </si>
  <si>
    <t>6.22</t>
  </si>
  <si>
    <t>6.23</t>
  </si>
  <si>
    <t>6.24</t>
  </si>
  <si>
    <t>6.25</t>
  </si>
  <si>
    <t>6.26</t>
  </si>
  <si>
    <t>6.27</t>
  </si>
  <si>
    <t>6.28</t>
  </si>
  <si>
    <t>6.29</t>
  </si>
  <si>
    <t>6.30</t>
  </si>
  <si>
    <t>6.31</t>
  </si>
  <si>
    <t>6.32</t>
  </si>
  <si>
    <t>6.33</t>
  </si>
  <si>
    <t>6.34</t>
  </si>
  <si>
    <t>6.35</t>
  </si>
  <si>
    <t>6.36</t>
  </si>
  <si>
    <t>7.1.2</t>
  </si>
  <si>
    <t>8.2.1</t>
  </si>
  <si>
    <t>8.2.2</t>
  </si>
  <si>
    <t>8.2.3</t>
  </si>
  <si>
    <t>8.2.4</t>
  </si>
  <si>
    <t>8.2.5</t>
  </si>
  <si>
    <t>8.2.6</t>
  </si>
  <si>
    <t>8.2.7</t>
  </si>
  <si>
    <t>8.2.8</t>
  </si>
  <si>
    <t>8.2.9</t>
  </si>
  <si>
    <t>10.1.1</t>
  </si>
  <si>
    <t>10.1.2</t>
  </si>
  <si>
    <t>10.1.3</t>
  </si>
  <si>
    <t>10.1.4</t>
  </si>
  <si>
    <t>10.1.5</t>
  </si>
  <si>
    <t>10.1.6</t>
  </si>
  <si>
    <t>10.1.7</t>
  </si>
  <si>
    <t>10.2.1</t>
  </si>
  <si>
    <t>10.2.2</t>
  </si>
  <si>
    <t>10.2.3</t>
  </si>
  <si>
    <t>12.0</t>
  </si>
  <si>
    <t>12.1</t>
  </si>
  <si>
    <t>12.2</t>
  </si>
  <si>
    <t>A carga horária de trabalho do Engenheiro Civil foi calculada considerando 48 horas mensais (12 horas semanais), totalizando 288 horas para o cronograma de 6 meses.</t>
  </si>
  <si>
    <t>Será necessário demolir os blocos de partida existentes, cada um tem 0.316m³ de concreto, considerando que são 6 blocos, temos 1.51m³.</t>
  </si>
  <si>
    <t>Foi estimada uma espessura de 0,2m multiplicada pela área do tanque (16x25)</t>
  </si>
  <si>
    <t>Fundo do tanque</t>
  </si>
  <si>
    <t>Foi estimada uma espessura de 0,2m multiplicada pela área da parede que será demolida (16x2)</t>
  </si>
  <si>
    <t>Parede do fundo</t>
  </si>
  <si>
    <t>Parede Lateral</t>
  </si>
  <si>
    <t>Foi estimada uma espessura de 0,2m multiplicada pela área da parede. Por possuir uma variação de altura ao longo da parede, fez-se uma reta inclinada para o cálculo da área. O comprimento é de 25.04m, com a altura variando de 1.6 até 2m,</t>
  </si>
  <si>
    <t>Entulho proveniente da demolição do tanque da piscina foi considerando um coeficiente de empolamento de 50%</t>
  </si>
  <si>
    <t>Estimativa da escavação do fundo do tanque</t>
  </si>
  <si>
    <t>* Valores levantados in loco/ a estimativa da tubulação em volta da piscina foi baseada em contato telefônico feito com o projetista,hidráulica uma vez que o projeto não informa a altura da entrada dos aspersores</t>
  </si>
  <si>
    <t>Como o fundo é inclinado, a altura de escavação varia de 0 até 0,35m.</t>
  </si>
  <si>
    <t>Após demolir o piso de cimento existente entre a piscina e o bloco de informática (acesso a arquibancada) para readequação da inclinação, será necessário escavar parte daquela área. Será necessário escavar apenas os 2 metros finais da rampa, onde a inclinação irá mudar. A profundidade escavada foi de 0.09m.</t>
  </si>
  <si>
    <t>Entulho proveniente da demolição do piso da rampa de acesso as arquibancadas foi considerando um coeficiente de empolamento de 50%</t>
  </si>
  <si>
    <t>Tanque da Piscina</t>
  </si>
  <si>
    <t>7402230/SINAPI</t>
  </si>
  <si>
    <t xml:space="preserve">738671/SINAPI </t>
  </si>
  <si>
    <t>11443/ORSE</t>
  </si>
  <si>
    <t>Eletroduto rígido soldável, pvc, dn 25 mm (3/4??), aparente, instalado em parede - fornecimento e instalação. af_11/2016_p</t>
  </si>
  <si>
    <t xml:space="preserve">95730/SINAPI </t>
  </si>
  <si>
    <t xml:space="preserve">88787/SINAPI </t>
  </si>
  <si>
    <t>ENGENHEIRO CIVIL DE OBRA JUNIOR COM ENCARGOS COMPLEMENTARES</t>
  </si>
  <si>
    <t>90777/SINAPI</t>
  </si>
  <si>
    <t xml:space="preserve"> Perfilado metálico perfurado 38 x 38 x 6000mm, chapa 16 ( ref.: Mopa ou similar)</t>
  </si>
  <si>
    <t xml:space="preserve">02683/ORSE </t>
  </si>
  <si>
    <t>Espacador / distanciador circular com entrada lateral, em plastico, para vergalhao *4,2 a 12,5* mm, cobrimento 20 mm</t>
  </si>
  <si>
    <t>39017/SINAPI</t>
  </si>
  <si>
    <t>88323/SINAPI</t>
  </si>
  <si>
    <t>93287/SINAPI</t>
  </si>
  <si>
    <t>93288/SINAPI</t>
  </si>
  <si>
    <t>14171/SINAPI</t>
  </si>
  <si>
    <t>11029/SINAPI</t>
  </si>
  <si>
    <t>91914/SINAPI</t>
  </si>
  <si>
    <t>Ralo/Dreno Linear com acabamento conforme projeto</t>
  </si>
  <si>
    <t>41 DESCRIÇÃO</t>
  </si>
  <si>
    <t>42 DESCRIÇÃO</t>
  </si>
  <si>
    <t>Fornecimento e Instalação de Abraçadeira PVC para eletroduto 3/4"</t>
  </si>
  <si>
    <t>Abraçadeira PVC para eletroduto 3/4"</t>
  </si>
  <si>
    <t>Fornecimento e Instalação de Saida perfilado final 3/4"</t>
  </si>
  <si>
    <t xml:space="preserve"> Saida perfilado final 3/4"</t>
  </si>
  <si>
    <t>Composição 41</t>
  </si>
  <si>
    <t>Cabo de cobre flexível isolado, 10 mm², anti-chama 0,6/1,0 kv, para circuitos terminais - fornecimento e instalação. af_12/2015 - Azul</t>
  </si>
  <si>
    <t>Cabo de cobre flexível isolado, 10 mm², anti-chama 0,6/1,0 kv, para circuitos terminais - fornecimento e instalação. af_12/2015 - Vermelho</t>
  </si>
  <si>
    <t>Cabo de cobre flexível isolado, 10 mm², anti-chama 0,6/1,0 kv, para circuitos terminais - fornecimento e instalação. af_12/2015 - Verde</t>
  </si>
  <si>
    <t>91933/SINAPI</t>
  </si>
  <si>
    <t>88315/SINAPI</t>
  </si>
  <si>
    <t>BDI (25,86% OU 12,81%)</t>
  </si>
  <si>
    <t>Eletroduto rígido soldável, pvc, dn 32 mm (1??), aparente, instalado em parede - fornecimento e instalação. af_11/2016_p</t>
  </si>
  <si>
    <t>95731/SINAPI</t>
  </si>
  <si>
    <t>CURVA 90 GRAUS PARA ELETRODUTO, PVC, ROSCÁVEL, DN 25 MM (3/4"), PARA CIRCUITOS TERMINAIS, INSTALADA EM PAREDE - FORNECIMENTO E INSTALAÇÃO. AF_12/2015</t>
  </si>
  <si>
    <t>91917/SINAPI</t>
  </si>
  <si>
    <t>CURVA 90 GRAUS PARA ELETRODUTO, PVC, ROSCÁVEL, DN 32 MM (1"), PARA CIRCUITOS TERMINAIS, INSTALADA EM PAREDE - FORNECIMENTO E INSTALAÇÃO. AF_12/2015</t>
  </si>
  <si>
    <t>Gancho curto 38x38mm para luminária</t>
  </si>
  <si>
    <t>43 DESCRIÇÃO</t>
  </si>
  <si>
    <t>Caixa de sobrepor 5 entradas, tipo condulete pvc rigido, p/eletroduto d = 1" , sem tampa (modelos: B,C,E,LB,T,X), Tigre ou similar</t>
  </si>
  <si>
    <t>04891/ORSE</t>
  </si>
  <si>
    <t xml:space="preserve">Fornecimento e Instalação de Caixa de sobrepor 5 entradas, tipo Condulete pvc rigido, p/eletroduto d = 1", sem tampa </t>
  </si>
  <si>
    <t>Composição 43</t>
  </si>
  <si>
    <t>Fornecimento e instalação de tampa cega p/condulete caixa 4" x 2"</t>
  </si>
  <si>
    <t>10909/ORSE</t>
  </si>
  <si>
    <t>44 DESCRIÇÃO</t>
  </si>
  <si>
    <t>Fornecimento e Instalação de Tampa para condulete, em pvc, com tomada hexagonal</t>
  </si>
  <si>
    <t>39352/SINAPI</t>
  </si>
  <si>
    <t>Tampa para condulete, em pvc, com tomada hexagonal</t>
  </si>
  <si>
    <t>Composição 44</t>
  </si>
  <si>
    <t>Box reto em alumínio de 3/4"</t>
  </si>
  <si>
    <t>11817/ORSE</t>
  </si>
  <si>
    <t>11816/ORSE</t>
  </si>
  <si>
    <t>Gancho curto para perfilado, ( ref.: Mopa ou similar)</t>
  </si>
  <si>
    <t>09526/ORSE</t>
  </si>
  <si>
    <t>Bucha com arruela em liga especial zamak p/eletroduto 25mm, d=1"</t>
  </si>
  <si>
    <t>00344/ORSE</t>
  </si>
  <si>
    <t>Bucha com arruela em liga especial zamak p/eletroduto 20mm, d=3/4"</t>
  </si>
  <si>
    <t>09924/ORSE</t>
  </si>
  <si>
    <t>Duto corrugado flexível em PEAD Ø = 1.1/4', tipo Kanalex ou similar, lançado diretamente no solo, exclusive escavação e reaterro</t>
  </si>
  <si>
    <t>Estimativa da escavação para enterrar a tubulação de alimentação do QDB localizado dentro da casa de bombas.</t>
  </si>
  <si>
    <t>45 DESCRIÇÃO</t>
  </si>
  <si>
    <t>Fornecimento e Instalação de Porca perfil de 1/4" com pino, arruela e porca</t>
  </si>
  <si>
    <t>46 DESCRIÇÃO</t>
  </si>
  <si>
    <t>Porca perfil de 1/4" com pino, arruela e porca</t>
  </si>
  <si>
    <t>Fornecimento e Instalação de Saída horizontal para eletroduto de 1"em eletrocalha</t>
  </si>
  <si>
    <t>Saída horizontal para eletroduto de 1"em eletrocalha.</t>
  </si>
  <si>
    <t>47 DESCRIÇÃO</t>
  </si>
  <si>
    <t>Fornecimento e Instalação de Tampa cega 1" para condulete - cinza claro</t>
  </si>
  <si>
    <t>Tampa cega 1" para condulete - cinza claro</t>
  </si>
  <si>
    <t>Box reto em alumínio de 1"</t>
  </si>
  <si>
    <t>Composição 45</t>
  </si>
  <si>
    <t>5.37</t>
  </si>
  <si>
    <t>2.1.6</t>
  </si>
  <si>
    <t>13.2</t>
  </si>
  <si>
    <t>FORMA TABUA PARA CONCRETO EM FUNDACAO C/ REAPROVEITAMENTO 5X</t>
  </si>
  <si>
    <t>PECA DE MADEIRA NATIVA / REGIONAL 7,5 X 7,5CM (3X3) NAO APARELHADA (P/FORMA)</t>
  </si>
  <si>
    <t>M</t>
  </si>
  <si>
    <t>PECA DE MADEIRA 3A/4A QUALIDADE 2,5 X 5CM NAO APARELHADA</t>
  </si>
  <si>
    <t>PREGO DE ACO POLIDO COM CABECA 18 X 27 (2 1/2 X 10)</t>
  </si>
  <si>
    <t>TABUA MADEIRA 2A QUALIDADE 2,5 X 30,0CM (1 X 12") NAO APARELHADA</t>
  </si>
  <si>
    <t>AJUDANTE DE CARPINTEIRO COM ENCARGOS COMPLEMENTARES</t>
  </si>
  <si>
    <t>CARPINTEIRO DE FORMAS COM ENCARGOS COMPLEMENTARES</t>
  </si>
  <si>
    <t>88262/COMPOSICAO</t>
  </si>
  <si>
    <t>88239/COMPOSICAO</t>
  </si>
  <si>
    <t>6189/INSUMO</t>
  </si>
  <si>
    <t>2692/INSUMO</t>
  </si>
  <si>
    <t>4491/INSUMO</t>
  </si>
  <si>
    <t>4512/INSUMO</t>
  </si>
  <si>
    <t>5061/INSUMO</t>
  </si>
  <si>
    <t>48. DESCRIÇÃO</t>
  </si>
  <si>
    <t xml:space="preserve">Caixa de passagem em alvenaria de tijolos maciços esp. = 0,12m, dim. int. = 0.40 x 0.40 x 0.60m, inclusive tampa </t>
  </si>
  <si>
    <t>02794/ORSE</t>
  </si>
  <si>
    <t>Barra de apoio, reta, fixa, em aço inox, l=60cm, d=1 1/2", Jackwal ou similar</t>
  </si>
  <si>
    <t>9403/ORSE</t>
  </si>
  <si>
    <t>Fornecimento e Instalação de Barra de apoio em aço inox polido, l=60, d=38.1 mm</t>
  </si>
  <si>
    <t>Mês / Ano</t>
  </si>
  <si>
    <t>Índice do mês</t>
  </si>
  <si>
    <t>(em %)</t>
  </si>
  <si>
    <t>Índice acumulado</t>
  </si>
  <si>
    <t>no ano (em %)</t>
  </si>
  <si>
    <t>Índice acumulado nos últimos 12 meses </t>
  </si>
  <si>
    <t>Número índice </t>
  </si>
  <si>
    <t>acumulado a partir</t>
  </si>
  <si>
    <t>de Jan/93</t>
  </si>
  <si>
    <t>Preço Total com BDI</t>
  </si>
  <si>
    <t>TOTAL GERAL COM BDI</t>
  </si>
  <si>
    <t>TOTAL GERAL SEM BDI</t>
  </si>
  <si>
    <t>TOTAL DA OBRA</t>
  </si>
  <si>
    <r>
      <t xml:space="preserve">O valor do </t>
    </r>
    <r>
      <rPr>
        <b/>
        <sz val="12"/>
        <rFont val="Times New Roman"/>
        <family val="1"/>
      </rPr>
      <t>BDI para os serviços normais é de 25,86% (vinte e cinco virgula oitenta e seis por cento)</t>
    </r>
    <r>
      <rPr>
        <sz val="12"/>
        <rFont val="Times New Roman"/>
        <family val="1"/>
      </rPr>
      <t>, conforme composição em anexo.</t>
    </r>
  </si>
  <si>
    <r>
      <t>O valor do</t>
    </r>
    <r>
      <rPr>
        <b/>
        <sz val="12"/>
        <rFont val="Times New Roman"/>
        <family val="1"/>
      </rPr>
      <t xml:space="preserve"> BDI diferenciado</t>
    </r>
    <r>
      <rPr>
        <sz val="12"/>
        <rFont val="Times New Roman"/>
        <family val="1"/>
      </rPr>
      <t xml:space="preserve"> foi de </t>
    </r>
    <r>
      <rPr>
        <b/>
        <sz val="12"/>
        <rFont val="Times New Roman"/>
        <family val="1"/>
      </rPr>
      <t>12,81% (doze vírgula oitenta e um por cento)</t>
    </r>
    <r>
      <rPr>
        <sz val="12"/>
        <rFont val="Times New Roman"/>
        <family val="1"/>
      </rPr>
      <t xml:space="preserve">, conforme composição em anexo. Nesta planilha, o BDI diferenciado incide apenas no total do item </t>
    </r>
    <r>
      <rPr>
        <b/>
        <sz val="12"/>
        <rFont val="Times New Roman"/>
        <family val="1"/>
      </rPr>
      <t>13.0 - EQUIPAMENTOS.</t>
    </r>
  </si>
  <si>
    <t>CPF: 076.031.614-79</t>
  </si>
  <si>
    <t>Maceió, 15 de Fevereiro de 2018.</t>
  </si>
  <si>
    <t xml:space="preserve"> </t>
  </si>
  <si>
    <t>Obs.: SINAPI/5651</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</si>
</sst>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_(* #,##0.00_);_(* \(#,##0.00\);_(* \-??_);_(@_)"/>
    <numFmt numFmtId="166" formatCode="_-&quot;R$ &quot;* #,##0.00_-;&quot;-R$ &quot;* #,##0.00_-;_-&quot;R$ &quot;* \-??_-;_-@_-"/>
    <numFmt numFmtId="167" formatCode="0.0"/>
    <numFmt numFmtId="168" formatCode="&quot;R$ &quot;#,##0.00"/>
    <numFmt numFmtId="169" formatCode="&quot; R$ &quot;* #,##0.00\ ;&quot;-R$ &quot;* #,##0.00\ ;&quot; R$ &quot;* \-??\ "/>
    <numFmt numFmtId="170" formatCode="#,##0.00;[Red]#,##0.00"/>
    <numFmt numFmtId="171" formatCode="* #,##0.00\ ;\-* #,##0.00\ ;* \-??\ "/>
    <numFmt numFmtId="172" formatCode="0.000%"/>
    <numFmt numFmtId="173" formatCode="0.000"/>
    <numFmt numFmtId="174" formatCode="&quot;Sim&quot;;&quot;Sim&quot;;&quot;Não&quot;"/>
    <numFmt numFmtId="175" formatCode="&quot;Verdadeiro&quot;;&quot;Verdadeiro&quot;;&quot;Falso&quot;"/>
    <numFmt numFmtId="176" formatCode="&quot;Ativado&quot;;&quot;Ativado&quot;;&quot;Desativado&quot;"/>
    <numFmt numFmtId="177" formatCode="[$€-2]\ #,##0.00_);[Red]\([$€-2]\ #,##0.00\)"/>
    <numFmt numFmtId="178" formatCode="0.0000"/>
    <numFmt numFmtId="179" formatCode="0.0%"/>
    <numFmt numFmtId="180" formatCode="0.0000000"/>
    <numFmt numFmtId="181" formatCode="0.000000"/>
    <numFmt numFmtId="182" formatCode="0.00000"/>
  </numFmts>
  <fonts count="66">
    <font>
      <sz val="12"/>
      <name val="Verdana"/>
      <family val="0"/>
    </font>
    <font>
      <sz val="11"/>
      <color indexed="55"/>
      <name val="Calibri"/>
      <family val="2"/>
    </font>
    <font>
      <sz val="12"/>
      <name val="Times New Roman"/>
      <family val="1"/>
    </font>
    <font>
      <sz val="10"/>
      <name val="Times New Roman"/>
      <family val="1"/>
    </font>
    <font>
      <sz val="11"/>
      <name val="Times New Roman"/>
      <family val="1"/>
    </font>
    <font>
      <sz val="9"/>
      <name val="Times New Roman"/>
      <family val="1"/>
    </font>
    <font>
      <b/>
      <sz val="10"/>
      <name val="Times New Roman"/>
      <family val="1"/>
    </font>
    <font>
      <b/>
      <sz val="9"/>
      <name val="Times New Roman"/>
      <family val="1"/>
    </font>
    <font>
      <i/>
      <sz val="9"/>
      <name val="Times New Roman"/>
      <family val="1"/>
    </font>
    <font>
      <b/>
      <sz val="9.5"/>
      <name val="Times New Roman"/>
      <family val="1"/>
    </font>
    <font>
      <sz val="9.5"/>
      <name val="Times New Roman"/>
      <family val="1"/>
    </font>
    <font>
      <b/>
      <sz val="12"/>
      <name val="Verdana"/>
      <family val="0"/>
    </font>
    <font>
      <sz val="9"/>
      <name val="Arial Bold"/>
      <family val="0"/>
    </font>
    <font>
      <sz val="10"/>
      <name val="Arial Bold"/>
      <family val="0"/>
    </font>
    <font>
      <sz val="10"/>
      <name val="Arial"/>
      <family val="2"/>
    </font>
    <font>
      <sz val="11"/>
      <name val="Calibri"/>
      <family val="2"/>
    </font>
    <font>
      <sz val="9"/>
      <name val="Arial"/>
      <family val="2"/>
    </font>
    <font>
      <b/>
      <sz val="11"/>
      <name val="Times New Roman"/>
      <family val="1"/>
    </font>
    <font>
      <i/>
      <sz val="10"/>
      <name val="Times New Roman"/>
      <family val="1"/>
    </font>
    <font>
      <i/>
      <sz val="12"/>
      <name val="Verdana"/>
      <family val="0"/>
    </font>
    <font>
      <b/>
      <sz val="12"/>
      <name val="Times New Roman"/>
      <family val="1"/>
    </font>
    <font>
      <b/>
      <i/>
      <sz val="10"/>
      <name val="Times New Roman"/>
      <family val="1"/>
    </font>
    <font>
      <b/>
      <i/>
      <sz val="12"/>
      <name val="Times New Roman"/>
      <family val="1"/>
    </font>
    <font>
      <i/>
      <sz val="12"/>
      <name val="Times New Roman"/>
      <family val="1"/>
    </font>
    <font>
      <b/>
      <i/>
      <sz val="9"/>
      <name val="Times New Roman"/>
      <family val="1"/>
    </font>
    <font>
      <sz val="11"/>
      <color indexed="8"/>
      <name val="Calibri"/>
      <family val="2"/>
    </font>
    <font>
      <b/>
      <sz val="10"/>
      <name val="Arial"/>
      <family val="2"/>
    </font>
    <font>
      <sz val="8"/>
      <color indexed="55"/>
      <name val="Verdana"/>
      <family val="2"/>
    </font>
    <font>
      <sz val="8"/>
      <color indexed="45"/>
      <name val="Verdana"/>
      <family val="2"/>
    </font>
    <font>
      <sz val="9.5"/>
      <color indexed="55"/>
      <name val="Times New Roman"/>
      <family val="1"/>
    </font>
    <font>
      <sz val="10"/>
      <color indexed="55"/>
      <name val="Times New Roman"/>
      <family val="1"/>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11"/>
      <name val="Calibri"/>
      <family val="2"/>
    </font>
    <font>
      <sz val="11"/>
      <color indexed="54"/>
      <name val="Calibri"/>
      <family val="2"/>
    </font>
    <font>
      <b/>
      <sz val="11"/>
      <color indexed="55"/>
      <name val="Calibri"/>
      <family val="2"/>
    </font>
    <font>
      <b/>
      <sz val="11"/>
      <color indexed="45"/>
      <name val="Calibri"/>
      <family val="2"/>
    </font>
    <font>
      <sz val="11"/>
      <color indexed="45"/>
      <name val="Calibri"/>
      <family val="2"/>
    </font>
    <font>
      <b/>
      <sz val="11"/>
      <color indexed="19"/>
      <name val="Calibri"/>
      <family val="2"/>
    </font>
    <font>
      <sz val="11"/>
      <color indexed="1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sz val="11"/>
      <color rgb="FF000000"/>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0000"/>
      <name val="Verdana"/>
      <family val="2"/>
    </font>
    <font>
      <sz val="8"/>
      <color rgb="FFFF0000"/>
      <name val="Verdana"/>
      <family val="2"/>
    </font>
    <font>
      <sz val="9.5"/>
      <color rgb="FF000000"/>
      <name val="Times New Roman"/>
      <family val="1"/>
    </font>
    <font>
      <sz val="9.5"/>
      <color theme="1"/>
      <name val="Times New Roman"/>
      <family val="1"/>
    </font>
    <font>
      <sz val="10"/>
      <color rgb="FF000000"/>
      <name val="Times New Roman"/>
      <family val="1"/>
    </font>
  </fonts>
  <fills count="7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0000"/>
        <bgColor indexed="64"/>
      </patternFill>
    </fill>
    <fill>
      <patternFill patternType="solid">
        <fgColor rgb="FFCCCCCC"/>
        <bgColor indexed="64"/>
      </patternFill>
    </fill>
    <fill>
      <patternFill patternType="solid">
        <fgColor rgb="FFA6A6A6"/>
        <bgColor indexed="64"/>
      </patternFill>
    </fill>
    <fill>
      <patternFill patternType="solid">
        <fgColor rgb="FF999999"/>
        <bgColor indexed="64"/>
      </patternFill>
    </fill>
    <fill>
      <patternFill patternType="solid">
        <fgColor rgb="FF92D050"/>
        <bgColor indexed="64"/>
      </patternFill>
    </fill>
    <fill>
      <patternFill patternType="solid">
        <fgColor rgb="FFD9D9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C0C0C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style="medium"/>
    </border>
    <border>
      <left style="thin"/>
      <right style="thin"/>
      <top style="thin"/>
      <bottom style="medium"/>
    </border>
    <border>
      <left style="thin"/>
      <right style="thin"/>
      <top style="medium"/>
      <bottom style="medium"/>
    </border>
    <border>
      <left/>
      <right style="thin"/>
      <top/>
      <bottom style="thin"/>
    </border>
    <border>
      <left style="thin"/>
      <right style="thin"/>
      <top style="medium"/>
      <bottom style="thin"/>
    </border>
    <border>
      <left/>
      <right style="thin"/>
      <top style="medium"/>
      <bottom style="medium"/>
    </border>
    <border>
      <left style="thin"/>
      <right style="thin"/>
      <top style="thin"/>
      <bottom/>
    </border>
    <border>
      <left/>
      <right style="thin"/>
      <top style="medium"/>
      <bottom/>
    </border>
    <border>
      <left/>
      <right/>
      <top style="medium"/>
      <bottom style="medium"/>
    </border>
    <border>
      <left/>
      <right style="medium"/>
      <top style="medium"/>
      <bottom style="medium"/>
    </border>
    <border>
      <left style="thin"/>
      <right style="thin"/>
      <top style="medium"/>
      <bottom/>
    </border>
    <border>
      <left/>
      <right style="thin"/>
      <top style="thin"/>
      <bottom style="thin"/>
    </border>
    <border>
      <left/>
      <right/>
      <top style="hair"/>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medium"/>
      <top style="medium"/>
      <bottom style="medium"/>
    </border>
    <border>
      <left style="medium"/>
      <right style="medium"/>
      <top style="thin"/>
      <bottom style="thin"/>
    </border>
    <border>
      <left style="thin"/>
      <right style="medium"/>
      <top style="medium"/>
      <bottom style="medium"/>
    </border>
    <border>
      <left style="medium"/>
      <right style="hair"/>
      <top style="thin"/>
      <bottom style="hair"/>
    </border>
    <border>
      <left style="medium"/>
      <right style="medium"/>
      <top style="hair"/>
      <bottom style="thin"/>
    </border>
    <border>
      <left style="medium"/>
      <right style="thin"/>
      <top/>
      <bottom style="thin"/>
    </border>
    <border>
      <left style="thin"/>
      <right style="thin"/>
      <top/>
      <bottom style="thin"/>
    </border>
    <border>
      <left style="medium"/>
      <right/>
      <top style="medium"/>
      <bottom style="medium"/>
    </border>
    <border>
      <left style="hair"/>
      <right style="hair"/>
      <top style="hair"/>
      <bottom style="hair"/>
    </border>
    <border>
      <left style="thin"/>
      <right style="thin"/>
      <top/>
      <bottom style="medium"/>
    </border>
    <border>
      <left style="thin"/>
      <right style="thin"/>
      <top/>
      <bottom/>
    </border>
    <border>
      <left/>
      <right/>
      <top style="thin"/>
      <bottom/>
    </border>
    <border>
      <left/>
      <right style="thin"/>
      <top style="thin"/>
      <bottom/>
    </border>
    <border>
      <left style="thin"/>
      <right/>
      <top style="thin"/>
      <bottom style="thin"/>
    </border>
    <border>
      <left/>
      <right style="thin"/>
      <top/>
      <bottom/>
    </border>
    <border>
      <left style="thin"/>
      <right/>
      <top style="medium"/>
      <bottom style="thin"/>
    </border>
    <border>
      <left/>
      <right style="thin"/>
      <top style="medium"/>
      <bottom style="thin"/>
    </border>
    <border>
      <left/>
      <right/>
      <top/>
      <bottom style="medium"/>
    </border>
    <border>
      <left/>
      <right style="hair"/>
      <top style="hair"/>
      <bottom style="hair"/>
    </border>
    <border>
      <left style="medium"/>
      <right/>
      <top style="hair"/>
      <bottom style="hair"/>
    </border>
    <border>
      <left style="medium"/>
      <right/>
      <top/>
      <bottom style="medium"/>
    </border>
    <border>
      <left/>
      <right style="medium"/>
      <top/>
      <bottom style="medium"/>
    </border>
    <border>
      <left/>
      <right style="medium"/>
      <top style="hair"/>
      <bottom style="hair"/>
    </border>
    <border>
      <left style="medium"/>
      <right/>
      <top style="hair"/>
      <bottom/>
    </border>
    <border>
      <left/>
      <right/>
      <top style="hair"/>
      <bottom/>
    </border>
    <border>
      <left/>
      <right style="medium"/>
      <top style="hair"/>
      <bottom/>
    </border>
    <border>
      <left style="medium"/>
      <right/>
      <top/>
      <bottom style="hair"/>
    </border>
    <border>
      <left/>
      <right/>
      <top/>
      <bottom style="hair"/>
    </border>
    <border>
      <left/>
      <right style="medium"/>
      <top/>
      <bottom style="hair"/>
    </border>
    <border>
      <left style="medium"/>
      <right/>
      <top style="thin"/>
      <bottom style="thin"/>
    </border>
    <border>
      <left style="thin"/>
      <right/>
      <top/>
      <bottom style="thin"/>
    </border>
    <border>
      <left style="thin"/>
      <right style="medium"/>
      <top style="thin"/>
      <bottom/>
    </border>
    <border>
      <left style="thin"/>
      <right style="medium"/>
      <top/>
      <bottom style="thin"/>
    </border>
    <border>
      <left style="thin"/>
      <right style="medium"/>
      <top/>
      <bottom/>
    </border>
    <border>
      <left style="medium"/>
      <right style="medium"/>
      <top style="medium"/>
      <bottom style="thin"/>
    </border>
    <border>
      <left/>
      <right/>
      <top style="thin"/>
      <bottom style="medium"/>
    </border>
    <border>
      <left/>
      <right style="thin"/>
      <top style="thin"/>
      <bottom style="medium"/>
    </border>
    <border>
      <left/>
      <right style="medium"/>
      <top style="thin"/>
      <bottom style="medium"/>
    </border>
    <border>
      <left style="thin">
        <color rgb="FF0066CC"/>
      </left>
      <right style="thin">
        <color rgb="FF0066CC"/>
      </right>
      <top style="thin">
        <color rgb="FF0066CC"/>
      </top>
      <bottom>
        <color indexed="63"/>
      </bottom>
    </border>
    <border>
      <left style="thin">
        <color rgb="FF0066CC"/>
      </left>
      <right style="thin">
        <color rgb="FF0066CC"/>
      </right>
      <top>
        <color indexed="63"/>
      </top>
      <bottom>
        <color indexed="63"/>
      </bottom>
    </border>
    <border>
      <left style="thin">
        <color rgb="FF0066CC"/>
      </left>
      <right style="thin">
        <color rgb="FF0066CC"/>
      </right>
      <top>
        <color indexed="63"/>
      </top>
      <bottom style="thin">
        <color rgb="FF0066CC"/>
      </bottom>
    </border>
    <border>
      <left style="thin">
        <color rgb="FF0066CC"/>
      </left>
      <right style="thin">
        <color rgb="FF0066CC"/>
      </right>
      <top style="thin">
        <color rgb="FF0066CC"/>
      </top>
      <bottom style="thin">
        <color rgb="FF0066CC"/>
      </bottom>
    </border>
    <border>
      <left style="thin"/>
      <right/>
      <top style="medium"/>
      <bottom style="medium"/>
    </border>
    <border>
      <left style="thin"/>
      <right>
        <color indexed="63"/>
      </right>
      <top>
        <color indexed="63"/>
      </top>
      <bottom>
        <color indexed="63"/>
      </bottom>
    </border>
    <border>
      <left style="medium"/>
      <right style="thin"/>
      <top style="medium"/>
      <bottom style="medium"/>
    </border>
    <border>
      <left>
        <color indexed="63"/>
      </left>
      <right>
        <color indexed="63"/>
      </right>
      <top>
        <color indexed="63"/>
      </top>
      <bottom style="thin"/>
    </border>
    <border>
      <left style="thin"/>
      <right/>
      <top style="thin"/>
      <bottom/>
    </border>
    <border>
      <left style="thin"/>
      <right/>
      <top style="thin"/>
      <bottom style="medium"/>
    </border>
    <border>
      <left style="thin"/>
      <right/>
      <top style="hair"/>
      <bottom style="hair"/>
    </border>
    <border>
      <left/>
      <right style="thin"/>
      <top style="hair"/>
      <bottom style="hair"/>
    </border>
    <border>
      <left style="thin"/>
      <right/>
      <top style="medium"/>
      <bottom/>
    </border>
    <border>
      <left style="thin"/>
      <right/>
      <top/>
      <bottom style="medium"/>
    </border>
    <border>
      <left style="medium"/>
      <right style="medium"/>
      <top/>
      <bottom/>
    </border>
    <border>
      <left style="hair"/>
      <right style="thin"/>
      <top style="medium"/>
      <bottom style="medium"/>
    </border>
    <border>
      <left style="medium"/>
      <right style="medium"/>
      <top style="medium"/>
      <bottom/>
    </border>
    <border>
      <left/>
      <right style="medium"/>
      <top style="medium"/>
      <bottom style="thin"/>
    </border>
    <border>
      <left/>
      <right/>
      <top style="thin"/>
      <bottom style="thin"/>
    </border>
    <border>
      <left/>
      <right style="medium"/>
      <top style="thin"/>
      <bottom style="thin"/>
    </border>
  </borders>
  <cellStyleXfs count="63">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66" fontId="0" fillId="0" borderId="0" applyBorder="0" applyProtection="0">
      <alignment vertical="top" wrapText="1"/>
    </xf>
    <xf numFmtId="42" fontId="0" fillId="0" borderId="0" applyFont="0" applyFill="0" applyBorder="0" applyAlignment="0" applyProtection="0"/>
    <xf numFmtId="44" fontId="25" fillId="0" borderId="0" applyFont="0" applyFill="0" applyBorder="0" applyAlignment="0" applyProtection="0"/>
    <xf numFmtId="0" fontId="52" fillId="31" borderId="0" applyNumberFormat="0" applyBorder="0" applyAlignment="0" applyProtection="0"/>
    <xf numFmtId="0" fontId="44" fillId="0" borderId="0">
      <alignment/>
      <protection/>
    </xf>
    <xf numFmtId="0" fontId="0" fillId="32" borderId="4" applyNumberFormat="0" applyFont="0" applyAlignment="0" applyProtection="0"/>
    <xf numFmtId="9" fontId="0" fillId="0" borderId="0" applyBorder="0" applyProtection="0">
      <alignment vertical="top" wrapText="1"/>
    </xf>
    <xf numFmtId="0" fontId="53" fillId="21" borderId="5" applyNumberFormat="0" applyAlignment="0" applyProtection="0"/>
    <xf numFmtId="41" fontId="0" fillId="0" borderId="0" applyFont="0" applyFill="0" applyBorder="0" applyAlignment="0" applyProtection="0"/>
    <xf numFmtId="0" fontId="54" fillId="0" borderId="0" applyNumberFormat="0" applyFill="0" applyBorder="0" applyAlignment="0" applyProtection="0"/>
    <xf numFmtId="165" fontId="55" fillId="0" borderId="0" applyBorder="0" applyProtection="0">
      <alignment/>
    </xf>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64" fontId="0" fillId="0" borderId="0" applyFont="0" applyFill="0" applyBorder="0" applyAlignment="0" applyProtection="0"/>
  </cellStyleXfs>
  <cellXfs count="787">
    <xf numFmtId="0" fontId="0" fillId="0" borderId="0" xfId="0" applyAlignment="1">
      <alignment vertical="top" wrapText="1"/>
    </xf>
    <xf numFmtId="0" fontId="2" fillId="0" borderId="0" xfId="0" applyFont="1" applyBorder="1" applyAlignment="1" applyProtection="1">
      <alignment vertical="top" wrapText="1"/>
      <protection/>
    </xf>
    <xf numFmtId="0" fontId="2" fillId="0" borderId="0" xfId="0" applyFont="1" applyBorder="1" applyAlignment="1" applyProtection="1">
      <alignment horizontal="center" vertical="top" wrapText="1"/>
      <protection/>
    </xf>
    <xf numFmtId="10" fontId="7" fillId="0" borderId="10" xfId="0" applyNumberFormat="1" applyFont="1" applyBorder="1" applyAlignment="1" applyProtection="1">
      <alignment horizontal="right" wrapText="1"/>
      <protection/>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right" vertical="top" wrapText="1"/>
      <protection/>
    </xf>
    <xf numFmtId="0" fontId="10" fillId="0" borderId="0" xfId="0" applyFont="1" applyBorder="1" applyAlignment="1" applyProtection="1">
      <alignment vertical="top" wrapText="1"/>
      <protection/>
    </xf>
    <xf numFmtId="169" fontId="10" fillId="0" borderId="10" xfId="0" applyNumberFormat="1" applyFont="1" applyBorder="1" applyAlignment="1" applyProtection="1">
      <alignment horizontal="center" vertical="top" wrapText="1"/>
      <protection/>
    </xf>
    <xf numFmtId="0" fontId="10" fillId="0" borderId="10" xfId="0" applyFont="1" applyBorder="1" applyAlignment="1" applyProtection="1">
      <alignment horizontal="left" vertical="top" wrapText="1"/>
      <protection/>
    </xf>
    <xf numFmtId="0" fontId="10" fillId="0" borderId="10" xfId="0" applyFont="1" applyBorder="1" applyAlignment="1" applyProtection="1">
      <alignment horizontal="right" vertical="top" wrapText="1"/>
      <protection/>
    </xf>
    <xf numFmtId="169" fontId="10" fillId="0" borderId="10" xfId="0" applyNumberFormat="1" applyFont="1" applyBorder="1" applyAlignment="1" applyProtection="1">
      <alignment horizontal="right" vertical="top" wrapText="1"/>
      <protection/>
    </xf>
    <xf numFmtId="0" fontId="10" fillId="0" borderId="10" xfId="0" applyFont="1" applyBorder="1" applyAlignment="1" applyProtection="1">
      <alignment horizontal="center" vertical="top" wrapText="1"/>
      <protection/>
    </xf>
    <xf numFmtId="0" fontId="10" fillId="33" borderId="10" xfId="0" applyFont="1" applyFill="1" applyBorder="1" applyAlignment="1" applyProtection="1">
      <alignment horizontal="right" vertical="top" wrapText="1"/>
      <protection/>
    </xf>
    <xf numFmtId="169" fontId="10" fillId="0" borderId="11" xfId="0" applyNumberFormat="1" applyFont="1" applyBorder="1" applyAlignment="1" applyProtection="1">
      <alignment horizontal="right" vertical="top" wrapText="1"/>
      <protection/>
    </xf>
    <xf numFmtId="169" fontId="10" fillId="0" borderId="12" xfId="0" applyNumberFormat="1" applyFont="1" applyBorder="1" applyAlignment="1" applyProtection="1">
      <alignment horizontal="right" vertical="top" wrapText="1"/>
      <protection/>
    </xf>
    <xf numFmtId="169" fontId="10" fillId="0" borderId="13" xfId="0" applyNumberFormat="1" applyFont="1" applyBorder="1" applyAlignment="1" applyProtection="1">
      <alignment horizontal="right" vertical="top" wrapText="1"/>
      <protection/>
    </xf>
    <xf numFmtId="0" fontId="61" fillId="33" borderId="0" xfId="0" applyFont="1" applyFill="1" applyBorder="1" applyAlignment="1" applyProtection="1">
      <alignment vertical="center" wrapText="1"/>
      <protection/>
    </xf>
    <xf numFmtId="0" fontId="62" fillId="0" borderId="0" xfId="0" applyFont="1" applyBorder="1" applyAlignment="1" applyProtection="1">
      <alignment vertical="top" wrapText="1"/>
      <protection/>
    </xf>
    <xf numFmtId="169" fontId="10" fillId="0" borderId="14" xfId="0" applyNumberFormat="1" applyFont="1" applyBorder="1" applyAlignment="1" applyProtection="1">
      <alignment horizontal="right" vertical="top" wrapText="1"/>
      <protection/>
    </xf>
    <xf numFmtId="0" fontId="10" fillId="34" borderId="0" xfId="0" applyFont="1" applyFill="1" applyBorder="1" applyAlignment="1" applyProtection="1">
      <alignment vertical="top" wrapText="1"/>
      <protection/>
    </xf>
    <xf numFmtId="169" fontId="10" fillId="0" borderId="15" xfId="0" applyNumberFormat="1" applyFont="1" applyBorder="1" applyAlignment="1" applyProtection="1">
      <alignment horizontal="center" vertical="top" wrapText="1"/>
      <protection/>
    </xf>
    <xf numFmtId="0" fontId="10" fillId="0" borderId="15" xfId="0" applyFont="1" applyBorder="1" applyAlignment="1" applyProtection="1">
      <alignment horizontal="left" vertical="top" wrapText="1"/>
      <protection/>
    </xf>
    <xf numFmtId="0" fontId="10" fillId="0" borderId="15" xfId="0" applyFont="1" applyBorder="1" applyAlignment="1" applyProtection="1">
      <alignment horizontal="right" vertical="top" wrapText="1"/>
      <protection/>
    </xf>
    <xf numFmtId="169" fontId="10" fillId="0" borderId="15" xfId="0" applyNumberFormat="1" applyFont="1" applyBorder="1" applyAlignment="1" applyProtection="1">
      <alignment horizontal="right" vertical="top" wrapText="1"/>
      <protection/>
    </xf>
    <xf numFmtId="169" fontId="10" fillId="0" borderId="16" xfId="0" applyNumberFormat="1" applyFont="1" applyBorder="1" applyAlignment="1" applyProtection="1">
      <alignment horizontal="right" vertical="top" wrapText="1"/>
      <protection/>
    </xf>
    <xf numFmtId="0" fontId="10" fillId="0" borderId="17" xfId="0" applyFont="1" applyBorder="1" applyAlignment="1" applyProtection="1">
      <alignment horizontal="center" vertical="top" wrapText="1"/>
      <protection/>
    </xf>
    <xf numFmtId="0" fontId="10" fillId="0" borderId="17" xfId="0" applyFont="1" applyBorder="1" applyAlignment="1" applyProtection="1">
      <alignment horizontal="left" vertical="top" wrapText="1"/>
      <protection/>
    </xf>
    <xf numFmtId="0" fontId="10" fillId="0" borderId="17" xfId="0" applyFont="1" applyBorder="1" applyAlignment="1" applyProtection="1">
      <alignment horizontal="right" vertical="top" wrapText="1"/>
      <protection/>
    </xf>
    <xf numFmtId="169" fontId="10" fillId="0" borderId="17" xfId="0" applyNumberFormat="1" applyFont="1" applyBorder="1" applyAlignment="1" applyProtection="1">
      <alignment horizontal="right" vertical="top" wrapText="1"/>
      <protection/>
    </xf>
    <xf numFmtId="169" fontId="10" fillId="0" borderId="18" xfId="0" applyNumberFormat="1" applyFont="1" applyBorder="1" applyAlignment="1" applyProtection="1">
      <alignment horizontal="right" vertical="top" wrapText="1"/>
      <protection/>
    </xf>
    <xf numFmtId="0" fontId="10" fillId="0" borderId="19" xfId="0" applyFont="1" applyBorder="1" applyAlignment="1" applyProtection="1">
      <alignment vertical="top" wrapText="1"/>
      <protection/>
    </xf>
    <xf numFmtId="0" fontId="10" fillId="0" borderId="20" xfId="0" applyFont="1" applyBorder="1" applyAlignment="1" applyProtection="1">
      <alignment vertical="top" wrapText="1"/>
      <protection/>
    </xf>
    <xf numFmtId="0" fontId="63" fillId="0" borderId="0" xfId="0" applyFont="1" applyBorder="1" applyAlignment="1" applyProtection="1">
      <alignment vertical="top" wrapText="1"/>
      <protection/>
    </xf>
    <xf numFmtId="169" fontId="10" fillId="0" borderId="21" xfId="0" applyNumberFormat="1" applyFont="1" applyBorder="1" applyAlignment="1" applyProtection="1">
      <alignment horizontal="center" vertical="top" wrapText="1"/>
      <protection/>
    </xf>
    <xf numFmtId="0" fontId="10" fillId="0" borderId="21" xfId="0" applyFont="1" applyBorder="1" applyAlignment="1" applyProtection="1">
      <alignment horizontal="left" vertical="top" wrapText="1"/>
      <protection/>
    </xf>
    <xf numFmtId="0" fontId="10" fillId="0" borderId="21" xfId="0" applyFont="1" applyBorder="1" applyAlignment="1" applyProtection="1">
      <alignment horizontal="right" vertical="top" wrapText="1"/>
      <protection/>
    </xf>
    <xf numFmtId="169" fontId="10" fillId="0" borderId="21" xfId="0" applyNumberFormat="1" applyFont="1" applyBorder="1" applyAlignment="1" applyProtection="1">
      <alignment horizontal="right" vertical="top" wrapText="1"/>
      <protection/>
    </xf>
    <xf numFmtId="169" fontId="10" fillId="0" borderId="22" xfId="0" applyNumberFormat="1" applyFont="1" applyBorder="1" applyAlignment="1" applyProtection="1">
      <alignment horizontal="right" vertical="top" wrapText="1"/>
      <protection/>
    </xf>
    <xf numFmtId="0" fontId="0" fillId="0" borderId="0" xfId="0" applyFont="1" applyAlignment="1">
      <alignment vertical="top" wrapText="1"/>
    </xf>
    <xf numFmtId="0" fontId="3" fillId="35" borderId="23" xfId="0" applyFont="1" applyFill="1" applyBorder="1" applyAlignment="1" applyProtection="1">
      <alignment horizontal="center" vertical="center" wrapText="1"/>
      <protection/>
    </xf>
    <xf numFmtId="0" fontId="9" fillId="0" borderId="0" xfId="0" applyFont="1" applyBorder="1" applyAlignment="1" applyProtection="1">
      <alignment vertical="top" wrapText="1"/>
      <protection/>
    </xf>
    <xf numFmtId="0" fontId="11" fillId="0" borderId="0" xfId="0" applyFont="1" applyAlignment="1">
      <alignment vertical="top" wrapText="1"/>
    </xf>
    <xf numFmtId="169" fontId="10" fillId="0" borderId="21" xfId="0" applyNumberFormat="1" applyFont="1" applyBorder="1" applyAlignment="1" applyProtection="1">
      <alignment horizontal="center" vertical="top" wrapText="1"/>
      <protection/>
    </xf>
    <xf numFmtId="169" fontId="10" fillId="0" borderId="21" xfId="0" applyNumberFormat="1" applyFont="1" applyBorder="1" applyAlignment="1" applyProtection="1">
      <alignment horizontal="right" vertical="top" wrapText="1"/>
      <protection/>
    </xf>
    <xf numFmtId="1" fontId="3" fillId="0" borderId="24" xfId="0" applyNumberFormat="1" applyFont="1" applyBorder="1" applyAlignment="1" applyProtection="1">
      <alignment horizontal="center" vertical="center"/>
      <protection/>
    </xf>
    <xf numFmtId="1" fontId="3" fillId="0" borderId="25" xfId="0" applyNumberFormat="1" applyFont="1" applyBorder="1" applyAlignment="1" applyProtection="1">
      <alignment vertical="center"/>
      <protection/>
    </xf>
    <xf numFmtId="0" fontId="2" fillId="0" borderId="25" xfId="0" applyFont="1" applyBorder="1" applyAlignment="1" applyProtection="1">
      <alignment vertical="top" wrapText="1"/>
      <protection/>
    </xf>
    <xf numFmtId="0" fontId="2" fillId="0" borderId="25" xfId="0" applyFont="1" applyBorder="1" applyAlignment="1" applyProtection="1">
      <alignment horizontal="right" vertical="top" wrapText="1"/>
      <protection/>
    </xf>
    <xf numFmtId="0" fontId="2" fillId="0" borderId="26" xfId="0" applyFont="1" applyBorder="1" applyAlignment="1" applyProtection="1">
      <alignment horizontal="right" vertical="top" wrapText="1"/>
      <protection/>
    </xf>
    <xf numFmtId="1" fontId="3" fillId="0" borderId="27" xfId="0" applyNumberFormat="1" applyFont="1" applyBorder="1" applyAlignment="1" applyProtection="1">
      <alignment horizontal="center" vertical="center"/>
      <protection/>
    </xf>
    <xf numFmtId="1" fontId="3" fillId="0" borderId="0" xfId="0" applyNumberFormat="1" applyFont="1" applyBorder="1" applyAlignment="1" applyProtection="1">
      <alignment vertical="center"/>
      <protection/>
    </xf>
    <xf numFmtId="0" fontId="2" fillId="0" borderId="28" xfId="0" applyFont="1" applyBorder="1" applyAlignment="1" applyProtection="1">
      <alignment horizontal="right" vertical="top" wrapText="1"/>
      <protection/>
    </xf>
    <xf numFmtId="1" fontId="5" fillId="0" borderId="0" xfId="0" applyNumberFormat="1" applyFont="1" applyBorder="1" applyAlignment="1" applyProtection="1">
      <alignment/>
      <protection/>
    </xf>
    <xf numFmtId="0" fontId="2" fillId="0" borderId="27" xfId="0" applyFont="1" applyBorder="1" applyAlignment="1" applyProtection="1">
      <alignment horizontal="right" vertical="top" wrapText="1"/>
      <protection/>
    </xf>
    <xf numFmtId="0" fontId="5" fillId="33" borderId="10" xfId="0" applyFont="1" applyFill="1" applyBorder="1" applyAlignment="1" applyProtection="1">
      <alignment horizontal="right" wrapText="1"/>
      <protection/>
    </xf>
    <xf numFmtId="1" fontId="4" fillId="0" borderId="29" xfId="0" applyNumberFormat="1" applyFont="1" applyBorder="1" applyAlignment="1" applyProtection="1">
      <alignment horizontal="right"/>
      <protection/>
    </xf>
    <xf numFmtId="1" fontId="3" fillId="0" borderId="10" xfId="0" applyNumberFormat="1" applyFont="1" applyBorder="1" applyAlignment="1" applyProtection="1">
      <alignment horizontal="right"/>
      <protection/>
    </xf>
    <xf numFmtId="0" fontId="2" fillId="36" borderId="0" xfId="0" applyFont="1" applyFill="1" applyBorder="1" applyAlignment="1" applyProtection="1">
      <alignment vertical="top" wrapText="1"/>
      <protection/>
    </xf>
    <xf numFmtId="1" fontId="3" fillId="37" borderId="10" xfId="0" applyNumberFormat="1" applyFont="1" applyFill="1" applyBorder="1" applyAlignment="1" applyProtection="1">
      <alignment horizontal="right"/>
      <protection/>
    </xf>
    <xf numFmtId="0" fontId="7" fillId="0" borderId="29" xfId="0" applyFont="1" applyBorder="1" applyAlignment="1" applyProtection="1">
      <alignment horizontal="left" wrapText="1"/>
      <protection/>
    </xf>
    <xf numFmtId="166" fontId="5" fillId="0" borderId="10" xfId="0" applyNumberFormat="1" applyFont="1" applyBorder="1" applyAlignment="1" applyProtection="1">
      <alignment horizontal="right" wrapText="1"/>
      <protection/>
    </xf>
    <xf numFmtId="10" fontId="2" fillId="0" borderId="0" xfId="0" applyNumberFormat="1" applyFont="1" applyBorder="1" applyAlignment="1" applyProtection="1">
      <alignment vertical="top" wrapText="1"/>
      <protection/>
    </xf>
    <xf numFmtId="1" fontId="5" fillId="0" borderId="29" xfId="0" applyNumberFormat="1" applyFont="1" applyBorder="1" applyAlignment="1" applyProtection="1">
      <alignment horizontal="left" wrapText="1"/>
      <protection/>
    </xf>
    <xf numFmtId="1" fontId="5" fillId="0" borderId="10" xfId="0" applyNumberFormat="1" applyFont="1" applyBorder="1" applyAlignment="1" applyProtection="1">
      <alignment horizontal="right" wrapText="1"/>
      <protection/>
    </xf>
    <xf numFmtId="166" fontId="5" fillId="37" borderId="10" xfId="0" applyNumberFormat="1" applyFont="1" applyFill="1" applyBorder="1" applyAlignment="1" applyProtection="1">
      <alignment horizontal="right" wrapText="1"/>
      <protection/>
    </xf>
    <xf numFmtId="10" fontId="7" fillId="37" borderId="10" xfId="0" applyNumberFormat="1" applyFont="1" applyFill="1" applyBorder="1" applyAlignment="1" applyProtection="1">
      <alignment horizontal="right" wrapText="1"/>
      <protection/>
    </xf>
    <xf numFmtId="0" fontId="5" fillId="0" borderId="29" xfId="0" applyFont="1" applyBorder="1" applyAlignment="1" applyProtection="1">
      <alignment horizontal="left" wrapText="1"/>
      <protection/>
    </xf>
    <xf numFmtId="170" fontId="5" fillId="0" borderId="10" xfId="0" applyNumberFormat="1" applyFont="1" applyBorder="1" applyAlignment="1" applyProtection="1">
      <alignment horizontal="right" wrapText="1"/>
      <protection/>
    </xf>
    <xf numFmtId="170" fontId="7" fillId="0" borderId="10" xfId="0" applyNumberFormat="1" applyFont="1" applyBorder="1" applyAlignment="1" applyProtection="1">
      <alignment horizontal="right" wrapText="1"/>
      <protection/>
    </xf>
    <xf numFmtId="0" fontId="7" fillId="0" borderId="30" xfId="0" applyFont="1" applyBorder="1" applyAlignment="1" applyProtection="1">
      <alignment horizontal="left" wrapText="1"/>
      <protection/>
    </xf>
    <xf numFmtId="170" fontId="7" fillId="0" borderId="12" xfId="0" applyNumberFormat="1" applyFont="1" applyBorder="1" applyAlignment="1" applyProtection="1">
      <alignment horizontal="right" wrapText="1"/>
      <protection/>
    </xf>
    <xf numFmtId="1" fontId="5" fillId="0" borderId="12" xfId="0" applyNumberFormat="1" applyFont="1" applyBorder="1" applyAlignment="1" applyProtection="1">
      <alignment horizontal="right" wrapText="1"/>
      <protection/>
    </xf>
    <xf numFmtId="10" fontId="7" fillId="0" borderId="12" xfId="0" applyNumberFormat="1" applyFont="1" applyBorder="1" applyAlignment="1" applyProtection="1">
      <alignment horizontal="right" wrapText="1"/>
      <protection/>
    </xf>
    <xf numFmtId="10" fontId="7" fillId="0" borderId="31" xfId="0" applyNumberFormat="1" applyFont="1" applyBorder="1" applyAlignment="1" applyProtection="1">
      <alignment horizontal="right" wrapText="1"/>
      <protection/>
    </xf>
    <xf numFmtId="0" fontId="0" fillId="0" borderId="0" xfId="0" applyFont="1" applyBorder="1" applyAlignment="1" applyProtection="1">
      <alignment vertical="top" wrapText="1"/>
      <protection/>
    </xf>
    <xf numFmtId="0" fontId="12" fillId="0" borderId="29" xfId="0" applyFont="1" applyBorder="1" applyAlignment="1" applyProtection="1">
      <alignment vertical="center"/>
      <protection/>
    </xf>
    <xf numFmtId="0" fontId="13" fillId="0" borderId="10" xfId="0" applyFont="1" applyBorder="1" applyAlignment="1" applyProtection="1">
      <alignment horizontal="center" vertical="center"/>
      <protection/>
    </xf>
    <xf numFmtId="0" fontId="13" fillId="0" borderId="10" xfId="0" applyFont="1" applyBorder="1" applyAlignment="1" applyProtection="1">
      <alignment horizontal="right" vertical="center" wrapText="1"/>
      <protection/>
    </xf>
    <xf numFmtId="0" fontId="13" fillId="0" borderId="32" xfId="0" applyFont="1" applyBorder="1" applyAlignment="1" applyProtection="1">
      <alignment vertical="center" wrapText="1"/>
      <protection/>
    </xf>
    <xf numFmtId="0" fontId="14" fillId="0" borderId="10" xfId="0" applyFont="1" applyBorder="1" applyAlignment="1" applyProtection="1">
      <alignment vertical="center" wrapText="1"/>
      <protection/>
    </xf>
    <xf numFmtId="0" fontId="14" fillId="0" borderId="10" xfId="0" applyFont="1" applyBorder="1" applyAlignment="1" applyProtection="1">
      <alignment horizontal="center" vertical="center" wrapText="1"/>
      <protection/>
    </xf>
    <xf numFmtId="168" fontId="14" fillId="0" borderId="10" xfId="0" applyNumberFormat="1" applyFont="1" applyBorder="1" applyAlignment="1" applyProtection="1">
      <alignment horizontal="right" vertical="center" wrapText="1"/>
      <protection/>
    </xf>
    <xf numFmtId="168" fontId="14" fillId="0" borderId="32" xfId="0" applyNumberFormat="1" applyFont="1" applyBorder="1" applyAlignment="1" applyProtection="1">
      <alignment vertical="center" wrapText="1"/>
      <protection/>
    </xf>
    <xf numFmtId="0" fontId="14" fillId="0" borderId="10" xfId="0" applyFont="1" applyBorder="1" applyAlignment="1" applyProtection="1">
      <alignment horizontal="center" vertical="center"/>
      <protection/>
    </xf>
    <xf numFmtId="168" fontId="15" fillId="0" borderId="10" xfId="0" applyNumberFormat="1" applyFont="1" applyBorder="1" applyAlignment="1" applyProtection="1">
      <alignment horizontal="right" vertical="center"/>
      <protection/>
    </xf>
    <xf numFmtId="1" fontId="14" fillId="0" borderId="10" xfId="0" applyNumberFormat="1" applyFont="1" applyBorder="1" applyAlignment="1" applyProtection="1">
      <alignment vertical="center" wrapText="1"/>
      <protection/>
    </xf>
    <xf numFmtId="1" fontId="14" fillId="0" borderId="10" xfId="0" applyNumberFormat="1" applyFont="1" applyBorder="1" applyAlignment="1" applyProtection="1">
      <alignment horizontal="center" vertical="center" wrapText="1"/>
      <protection/>
    </xf>
    <xf numFmtId="1" fontId="14" fillId="0" borderId="10" xfId="0" applyNumberFormat="1" applyFont="1" applyBorder="1" applyAlignment="1" applyProtection="1">
      <alignment horizontal="center" vertical="center"/>
      <protection/>
    </xf>
    <xf numFmtId="1" fontId="12" fillId="0" borderId="29" xfId="0" applyNumberFormat="1" applyFont="1" applyBorder="1" applyAlignment="1" applyProtection="1">
      <alignment vertical="center"/>
      <protection/>
    </xf>
    <xf numFmtId="168" fontId="13" fillId="0" borderId="32" xfId="0" applyNumberFormat="1" applyFont="1" applyBorder="1" applyAlignment="1" applyProtection="1">
      <alignment vertical="center" wrapText="1"/>
      <protection/>
    </xf>
    <xf numFmtId="0" fontId="14" fillId="0" borderId="10" xfId="0" applyFont="1" applyBorder="1" applyAlignment="1" applyProtection="1">
      <alignment vertical="center"/>
      <protection/>
    </xf>
    <xf numFmtId="168" fontId="14" fillId="0" borderId="10" xfId="0" applyNumberFormat="1" applyFont="1" applyBorder="1" applyAlignment="1" applyProtection="1">
      <alignment horizontal="right" vertical="center"/>
      <protection/>
    </xf>
    <xf numFmtId="168" fontId="14" fillId="0" borderId="32" xfId="0" applyNumberFormat="1" applyFont="1" applyBorder="1" applyAlignment="1" applyProtection="1">
      <alignment vertical="center"/>
      <protection/>
    </xf>
    <xf numFmtId="0" fontId="14" fillId="0" borderId="10" xfId="0" applyFont="1" applyBorder="1" applyAlignment="1" applyProtection="1">
      <alignment horizontal="center"/>
      <protection/>
    </xf>
    <xf numFmtId="0" fontId="14" fillId="0" borderId="10" xfId="0" applyFont="1" applyBorder="1" applyAlignment="1" applyProtection="1">
      <alignment horizontal="left" vertical="center" wrapText="1"/>
      <protection/>
    </xf>
    <xf numFmtId="168" fontId="13" fillId="0" borderId="32" xfId="0" applyNumberFormat="1" applyFont="1" applyBorder="1" applyAlignment="1" applyProtection="1">
      <alignment vertical="center"/>
      <protection/>
    </xf>
    <xf numFmtId="3" fontId="12" fillId="0" borderId="29" xfId="0" applyNumberFormat="1" applyFont="1" applyBorder="1" applyAlignment="1" applyProtection="1">
      <alignment vertical="center"/>
      <protection/>
    </xf>
    <xf numFmtId="0" fontId="16" fillId="0" borderId="10" xfId="0" applyFont="1" applyBorder="1" applyAlignment="1" applyProtection="1">
      <alignment vertical="center"/>
      <protection/>
    </xf>
    <xf numFmtId="0" fontId="12" fillId="33" borderId="29" xfId="0" applyFont="1" applyFill="1" applyBorder="1" applyAlignment="1" applyProtection="1">
      <alignment vertical="center"/>
      <protection/>
    </xf>
    <xf numFmtId="0" fontId="14" fillId="0" borderId="10" xfId="0" applyFont="1" applyBorder="1" applyAlignment="1" applyProtection="1">
      <alignment horizontal="left" wrapText="1"/>
      <protection/>
    </xf>
    <xf numFmtId="0" fontId="14" fillId="0" borderId="10" xfId="0" applyFont="1" applyBorder="1" applyAlignment="1" applyProtection="1">
      <alignment horizontal="center" wrapText="1"/>
      <protection/>
    </xf>
    <xf numFmtId="168" fontId="14" fillId="0" borderId="10" xfId="0" applyNumberFormat="1" applyFont="1" applyBorder="1" applyAlignment="1" applyProtection="1">
      <alignment horizontal="right"/>
      <protection/>
    </xf>
    <xf numFmtId="168" fontId="14" fillId="0" borderId="32" xfId="0" applyNumberFormat="1" applyFont="1" applyBorder="1" applyAlignment="1" applyProtection="1">
      <alignment/>
      <protection/>
    </xf>
    <xf numFmtId="1" fontId="13" fillId="0" borderId="29" xfId="0" applyNumberFormat="1" applyFont="1" applyBorder="1" applyAlignment="1" applyProtection="1">
      <alignment vertical="center"/>
      <protection/>
    </xf>
    <xf numFmtId="0" fontId="14" fillId="0" borderId="10" xfId="0" applyFont="1" applyBorder="1" applyAlignment="1" applyProtection="1">
      <alignment vertical="top" wrapText="1"/>
      <protection/>
    </xf>
    <xf numFmtId="0" fontId="14" fillId="33" borderId="10" xfId="0" applyFont="1" applyFill="1" applyBorder="1" applyAlignment="1" applyProtection="1">
      <alignment horizontal="left" vertical="center" wrapText="1"/>
      <protection/>
    </xf>
    <xf numFmtId="0" fontId="14" fillId="33" borderId="10" xfId="0" applyFont="1" applyFill="1" applyBorder="1" applyAlignment="1" applyProtection="1">
      <alignment horizontal="center" vertical="center"/>
      <protection/>
    </xf>
    <xf numFmtId="1"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wrapText="1"/>
      <protection/>
    </xf>
    <xf numFmtId="168" fontId="14" fillId="33" borderId="10" xfId="0" applyNumberFormat="1" applyFont="1" applyFill="1" applyBorder="1" applyAlignment="1" applyProtection="1">
      <alignment horizontal="right" vertical="center" wrapText="1"/>
      <protection/>
    </xf>
    <xf numFmtId="168" fontId="14" fillId="33" borderId="32" xfId="0" applyNumberFormat="1" applyFont="1" applyFill="1" applyBorder="1" applyAlignment="1" applyProtection="1">
      <alignment vertical="center"/>
      <protection/>
    </xf>
    <xf numFmtId="2" fontId="14" fillId="0" borderId="10" xfId="0" applyNumberFormat="1" applyFont="1" applyBorder="1" applyAlignment="1" applyProtection="1">
      <alignment horizontal="center" vertical="center"/>
      <protection/>
    </xf>
    <xf numFmtId="171" fontId="14" fillId="0" borderId="10" xfId="0" applyNumberFormat="1" applyFont="1" applyBorder="1" applyAlignment="1" applyProtection="1">
      <alignment horizontal="center" vertical="center"/>
      <protection/>
    </xf>
    <xf numFmtId="4" fontId="14" fillId="0" borderId="10" xfId="0" applyNumberFormat="1" applyFont="1" applyBorder="1" applyAlignment="1" applyProtection="1">
      <alignment horizontal="center" vertical="center" wrapText="1"/>
      <protection/>
    </xf>
    <xf numFmtId="0" fontId="13" fillId="33" borderId="29" xfId="0" applyFont="1" applyFill="1" applyBorder="1" applyAlignment="1" applyProtection="1">
      <alignment vertical="center"/>
      <protection/>
    </xf>
    <xf numFmtId="168" fontId="13" fillId="0" borderId="31" xfId="0" applyNumberFormat="1" applyFont="1" applyBorder="1" applyAlignment="1" applyProtection="1">
      <alignment vertical="center"/>
      <protection/>
    </xf>
    <xf numFmtId="10" fontId="13" fillId="0" borderId="33" xfId="0" applyNumberFormat="1" applyFont="1" applyBorder="1" applyAlignment="1" applyProtection="1">
      <alignment horizontal="right" vertical="center" wrapText="1"/>
      <protection/>
    </xf>
    <xf numFmtId="168" fontId="13" fillId="0" borderId="33" xfId="0" applyNumberFormat="1" applyFont="1" applyBorder="1" applyAlignment="1" applyProtection="1">
      <alignment vertical="center"/>
      <protection/>
    </xf>
    <xf numFmtId="1" fontId="13" fillId="0" borderId="34" xfId="0" applyNumberFormat="1" applyFont="1" applyBorder="1" applyAlignment="1" applyProtection="1">
      <alignment vertical="center"/>
      <protection/>
    </xf>
    <xf numFmtId="168" fontId="13" fillId="33" borderId="33" xfId="0" applyNumberFormat="1" applyFont="1" applyFill="1" applyBorder="1" applyAlignment="1" applyProtection="1">
      <alignment vertical="center"/>
      <protection/>
    </xf>
    <xf numFmtId="168" fontId="13" fillId="0" borderId="35" xfId="0" applyNumberFormat="1" applyFont="1" applyBorder="1" applyAlignment="1" applyProtection="1">
      <alignment vertical="center"/>
      <protection/>
    </xf>
    <xf numFmtId="1" fontId="13" fillId="0" borderId="36" xfId="0" applyNumberFormat="1" applyFont="1" applyBorder="1" applyAlignment="1" applyProtection="1">
      <alignment vertical="center"/>
      <protection/>
    </xf>
    <xf numFmtId="1" fontId="13" fillId="0" borderId="37" xfId="0" applyNumberFormat="1" applyFont="1" applyBorder="1" applyAlignment="1" applyProtection="1">
      <alignment vertical="center"/>
      <protection/>
    </xf>
    <xf numFmtId="0" fontId="0" fillId="0" borderId="27"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28" xfId="0" applyFont="1" applyBorder="1" applyAlignment="1" applyProtection="1">
      <alignment vertical="top" wrapText="1"/>
      <protection/>
    </xf>
    <xf numFmtId="0" fontId="6" fillId="0" borderId="38"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17" fillId="38" borderId="40" xfId="0" applyFont="1" applyFill="1" applyBorder="1" applyAlignment="1" applyProtection="1">
      <alignment vertical="top" wrapText="1"/>
      <protection/>
    </xf>
    <xf numFmtId="0" fontId="6" fillId="39" borderId="40" xfId="0" applyFont="1" applyFill="1" applyBorder="1" applyAlignment="1" applyProtection="1">
      <alignment vertical="top" wrapText="1"/>
      <protection/>
    </xf>
    <xf numFmtId="0" fontId="6" fillId="39" borderId="19" xfId="0" applyFont="1" applyFill="1" applyBorder="1" applyAlignment="1" applyProtection="1">
      <alignment vertical="top" wrapText="1"/>
      <protection/>
    </xf>
    <xf numFmtId="0" fontId="6" fillId="39" borderId="19" xfId="0" applyFont="1" applyFill="1" applyBorder="1" applyAlignment="1" applyProtection="1">
      <alignment horizontal="center" vertical="top" wrapText="1"/>
      <protection/>
    </xf>
    <xf numFmtId="0" fontId="6" fillId="39" borderId="40" xfId="0" applyFont="1" applyFill="1" applyBorder="1" applyAlignment="1" applyProtection="1">
      <alignment horizontal="left" vertical="center" wrapText="1"/>
      <protection/>
    </xf>
    <xf numFmtId="0" fontId="6" fillId="39" borderId="19" xfId="0" applyFont="1" applyFill="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2" fillId="0" borderId="41" xfId="0" applyFont="1" applyBorder="1" applyAlignment="1">
      <alignment vertical="top" wrapText="1"/>
    </xf>
    <xf numFmtId="4" fontId="2" fillId="0" borderId="41" xfId="0" applyNumberFormat="1" applyFont="1" applyBorder="1" applyAlignment="1">
      <alignment horizontal="right" vertical="top" wrapText="1"/>
    </xf>
    <xf numFmtId="4" fontId="3" fillId="0" borderId="41" xfId="0" applyNumberFormat="1" applyFont="1" applyBorder="1" applyAlignment="1" applyProtection="1">
      <alignment horizontal="right" vertical="center" wrapText="1"/>
      <protection/>
    </xf>
    <xf numFmtId="4" fontId="3" fillId="0" borderId="41" xfId="0" applyNumberFormat="1" applyFont="1" applyBorder="1" applyAlignment="1">
      <alignment horizontal="right" vertical="top" wrapText="1"/>
    </xf>
    <xf numFmtId="0" fontId="3" fillId="35" borderId="10" xfId="0" applyFont="1" applyFill="1" applyBorder="1" applyAlignment="1" applyProtection="1">
      <alignment vertical="center" wrapText="1"/>
      <protection/>
    </xf>
    <xf numFmtId="166" fontId="3" fillId="0" borderId="0" xfId="45" applyFont="1" applyBorder="1" applyAlignment="1" applyProtection="1">
      <alignment horizontal="center" vertical="center" wrapText="1"/>
      <protection/>
    </xf>
    <xf numFmtId="0" fontId="0" fillId="0" borderId="0" xfId="0" applyBorder="1" applyAlignment="1">
      <alignment vertical="top" wrapText="1"/>
    </xf>
    <xf numFmtId="0" fontId="19" fillId="0" borderId="0" xfId="0" applyFont="1" applyAlignment="1">
      <alignment vertical="top" wrapText="1"/>
    </xf>
    <xf numFmtId="169" fontId="10" fillId="40" borderId="10" xfId="0" applyNumberFormat="1" applyFont="1" applyFill="1" applyBorder="1" applyAlignment="1" applyProtection="1">
      <alignment horizontal="center" vertical="top" wrapText="1"/>
      <protection/>
    </xf>
    <xf numFmtId="0" fontId="10" fillId="40" borderId="10" xfId="0" applyFont="1" applyFill="1" applyBorder="1" applyAlignment="1" applyProtection="1">
      <alignment horizontal="left" vertical="top" wrapText="1"/>
      <protection/>
    </xf>
    <xf numFmtId="0" fontId="10" fillId="41" borderId="10" xfId="0" applyFont="1" applyFill="1" applyBorder="1" applyAlignment="1" applyProtection="1">
      <alignment horizontal="right" vertical="top" wrapText="1"/>
      <protection/>
    </xf>
    <xf numFmtId="169" fontId="10" fillId="40" borderId="10" xfId="0" applyNumberFormat="1" applyFont="1" applyFill="1" applyBorder="1" applyAlignment="1" applyProtection="1">
      <alignment horizontal="right" vertical="top" wrapText="1"/>
      <protection/>
    </xf>
    <xf numFmtId="0" fontId="10" fillId="40" borderId="10" xfId="0" applyFont="1" applyFill="1" applyBorder="1" applyAlignment="1" applyProtection="1">
      <alignment horizontal="center" vertical="top" wrapText="1"/>
      <protection/>
    </xf>
    <xf numFmtId="0" fontId="10" fillId="41" borderId="10" xfId="0" applyFont="1" applyFill="1" applyBorder="1" applyAlignment="1" applyProtection="1">
      <alignment horizontal="center" vertical="top" wrapText="1"/>
      <protection/>
    </xf>
    <xf numFmtId="0" fontId="10" fillId="41" borderId="10" xfId="0" applyFont="1" applyFill="1" applyBorder="1" applyAlignment="1" applyProtection="1">
      <alignment horizontal="left" vertical="top" wrapText="1"/>
      <protection/>
    </xf>
    <xf numFmtId="169" fontId="10" fillId="41" borderId="10" xfId="0" applyNumberFormat="1" applyFont="1" applyFill="1" applyBorder="1" applyAlignment="1" applyProtection="1">
      <alignment horizontal="right" vertical="top" wrapText="1"/>
      <protection/>
    </xf>
    <xf numFmtId="0" fontId="10" fillId="42" borderId="10" xfId="0" applyFont="1" applyFill="1" applyBorder="1" applyAlignment="1" applyProtection="1">
      <alignment horizontal="center" vertical="top" wrapText="1"/>
      <protection/>
    </xf>
    <xf numFmtId="0" fontId="10" fillId="42" borderId="10" xfId="0" applyFont="1" applyFill="1" applyBorder="1" applyAlignment="1" applyProtection="1">
      <alignment horizontal="left" vertical="top" wrapText="1"/>
      <protection/>
    </xf>
    <xf numFmtId="0" fontId="10" fillId="42" borderId="10" xfId="0" applyFont="1" applyFill="1" applyBorder="1" applyAlignment="1" applyProtection="1">
      <alignment horizontal="right" vertical="top" wrapText="1"/>
      <protection/>
    </xf>
    <xf numFmtId="169" fontId="10" fillId="42" borderId="10" xfId="0" applyNumberFormat="1" applyFont="1" applyFill="1" applyBorder="1" applyAlignment="1" applyProtection="1">
      <alignment horizontal="right" vertical="top" wrapText="1"/>
      <protection/>
    </xf>
    <xf numFmtId="169" fontId="64" fillId="0" borderId="15" xfId="0" applyNumberFormat="1" applyFont="1" applyBorder="1" applyAlignment="1" applyProtection="1">
      <alignment horizontal="center" vertical="top" wrapText="1"/>
      <protection/>
    </xf>
    <xf numFmtId="0" fontId="64" fillId="0" borderId="15" xfId="0" applyFont="1" applyBorder="1" applyAlignment="1" applyProtection="1">
      <alignment horizontal="left" vertical="top" wrapText="1"/>
      <protection/>
    </xf>
    <xf numFmtId="169" fontId="64" fillId="0" borderId="15" xfId="0" applyNumberFormat="1" applyFont="1" applyBorder="1" applyAlignment="1" applyProtection="1">
      <alignment horizontal="right" vertical="top" wrapText="1"/>
      <protection/>
    </xf>
    <xf numFmtId="0" fontId="64" fillId="43" borderId="15" xfId="0" applyFont="1" applyFill="1" applyBorder="1" applyAlignment="1" applyProtection="1">
      <alignment horizontal="left" vertical="top" wrapText="1"/>
      <protection/>
    </xf>
    <xf numFmtId="0" fontId="64" fillId="43" borderId="15" xfId="0" applyFont="1" applyFill="1" applyBorder="1" applyAlignment="1" applyProtection="1">
      <alignment horizontal="right" vertical="top" wrapText="1"/>
      <protection/>
    </xf>
    <xf numFmtId="169" fontId="10" fillId="42" borderId="16" xfId="0" applyNumberFormat="1" applyFont="1" applyFill="1" applyBorder="1" applyAlignment="1" applyProtection="1">
      <alignment horizontal="right" vertical="top" wrapText="1"/>
      <protection/>
    </xf>
    <xf numFmtId="0" fontId="10" fillId="43" borderId="17" xfId="0" applyFont="1" applyFill="1" applyBorder="1" applyAlignment="1" applyProtection="1">
      <alignment horizontal="center" vertical="top" wrapText="1"/>
      <protection/>
    </xf>
    <xf numFmtId="0" fontId="10" fillId="43" borderId="17" xfId="0" applyFont="1" applyFill="1" applyBorder="1" applyAlignment="1" applyProtection="1">
      <alignment horizontal="left" vertical="top" wrapText="1"/>
      <protection/>
    </xf>
    <xf numFmtId="0" fontId="10" fillId="43" borderId="17" xfId="0" applyFont="1" applyFill="1" applyBorder="1" applyAlignment="1" applyProtection="1">
      <alignment horizontal="right" vertical="top" wrapText="1"/>
      <protection/>
    </xf>
    <xf numFmtId="169" fontId="10" fillId="43" borderId="17" xfId="0" applyNumberFormat="1" applyFont="1" applyFill="1" applyBorder="1" applyAlignment="1" applyProtection="1">
      <alignment horizontal="right" vertical="top" wrapText="1"/>
      <protection/>
    </xf>
    <xf numFmtId="169" fontId="10" fillId="40" borderId="12" xfId="0" applyNumberFormat="1" applyFont="1" applyFill="1" applyBorder="1" applyAlignment="1" applyProtection="1">
      <alignment horizontal="right" vertical="top" wrapText="1"/>
      <protection/>
    </xf>
    <xf numFmtId="0" fontId="3" fillId="0" borderId="10" xfId="0" applyFont="1" applyBorder="1" applyAlignment="1" applyProtection="1">
      <alignment horizontal="justify" vertical="center" wrapText="1"/>
      <protection/>
    </xf>
    <xf numFmtId="0" fontId="3" fillId="0" borderId="10" xfId="0" applyFont="1" applyBorder="1" applyAlignment="1" applyProtection="1">
      <alignment horizontal="right" vertical="center" wrapText="1"/>
      <protection/>
    </xf>
    <xf numFmtId="0" fontId="3" fillId="0" borderId="10" xfId="0" applyFont="1" applyBorder="1" applyAlignment="1" applyProtection="1">
      <alignment horizontal="left" vertical="center" wrapText="1"/>
      <protection/>
    </xf>
    <xf numFmtId="0" fontId="10" fillId="44" borderId="42" xfId="0" applyFont="1" applyFill="1" applyBorder="1" applyAlignment="1" applyProtection="1">
      <alignment horizontal="center" vertical="top" wrapText="1"/>
      <protection/>
    </xf>
    <xf numFmtId="0" fontId="10" fillId="44" borderId="42" xfId="0" applyFont="1" applyFill="1" applyBorder="1" applyAlignment="1" applyProtection="1">
      <alignment horizontal="left" vertical="top" wrapText="1"/>
      <protection/>
    </xf>
    <xf numFmtId="0" fontId="10" fillId="44" borderId="42" xfId="0" applyFont="1" applyFill="1" applyBorder="1" applyAlignment="1" applyProtection="1">
      <alignment horizontal="right" vertical="top" wrapText="1"/>
      <protection/>
    </xf>
    <xf numFmtId="169" fontId="10" fillId="43" borderId="12" xfId="0" applyNumberFormat="1" applyFont="1" applyFill="1" applyBorder="1" applyAlignment="1" applyProtection="1">
      <alignment horizontal="right" vertical="top" wrapText="1"/>
      <protection/>
    </xf>
    <xf numFmtId="0" fontId="10" fillId="45" borderId="42" xfId="0" applyFont="1" applyFill="1" applyBorder="1" applyAlignment="1" applyProtection="1">
      <alignment horizontal="center" vertical="top" wrapText="1"/>
      <protection/>
    </xf>
    <xf numFmtId="0" fontId="10" fillId="45" borderId="42" xfId="0" applyFont="1" applyFill="1" applyBorder="1" applyAlignment="1" applyProtection="1">
      <alignment horizontal="left" vertical="top" wrapText="1"/>
      <protection/>
    </xf>
    <xf numFmtId="0" fontId="10" fillId="45" borderId="42" xfId="0" applyFont="1" applyFill="1" applyBorder="1" applyAlignment="1" applyProtection="1">
      <alignment horizontal="right" vertical="top" wrapText="1"/>
      <protection/>
    </xf>
    <xf numFmtId="0" fontId="10" fillId="45" borderId="43" xfId="0" applyFont="1" applyFill="1" applyBorder="1" applyAlignment="1" applyProtection="1">
      <alignment horizontal="center" vertical="top" wrapText="1"/>
      <protection/>
    </xf>
    <xf numFmtId="0" fontId="10" fillId="45" borderId="43" xfId="0" applyFont="1" applyFill="1" applyBorder="1" applyAlignment="1" applyProtection="1">
      <alignment horizontal="left" vertical="top" wrapText="1"/>
      <protection/>
    </xf>
    <xf numFmtId="0" fontId="10" fillId="45" borderId="43" xfId="0" applyFont="1" applyFill="1" applyBorder="1" applyAlignment="1" applyProtection="1">
      <alignment horizontal="right" vertical="top" wrapText="1"/>
      <protection/>
    </xf>
    <xf numFmtId="0" fontId="6" fillId="0" borderId="10" xfId="0" applyFont="1" applyBorder="1" applyAlignment="1" applyProtection="1">
      <alignment horizontal="justify" vertical="center" wrapText="1"/>
      <protection/>
    </xf>
    <xf numFmtId="0" fontId="6" fillId="0" borderId="10" xfId="0" applyFont="1" applyBorder="1" applyAlignment="1" applyProtection="1">
      <alignment horizontal="right" vertical="center" wrapText="1"/>
      <protection/>
    </xf>
    <xf numFmtId="0" fontId="2" fillId="0" borderId="10" xfId="0" applyFont="1" applyBorder="1" applyAlignment="1" applyProtection="1">
      <alignment horizontal="right" vertical="center" wrapText="1"/>
      <protection/>
    </xf>
    <xf numFmtId="0" fontId="10" fillId="46" borderId="42" xfId="0" applyFont="1" applyFill="1" applyBorder="1" applyAlignment="1" applyProtection="1">
      <alignment horizontal="center" vertical="top" wrapText="1"/>
      <protection/>
    </xf>
    <xf numFmtId="0" fontId="10" fillId="46" borderId="42" xfId="0" applyFont="1" applyFill="1" applyBorder="1" applyAlignment="1" applyProtection="1">
      <alignment horizontal="left" vertical="top" wrapText="1"/>
      <protection/>
    </xf>
    <xf numFmtId="0" fontId="10" fillId="46" borderId="42" xfId="0" applyFont="1" applyFill="1" applyBorder="1" applyAlignment="1" applyProtection="1">
      <alignment horizontal="right" vertical="top" wrapText="1"/>
      <protection/>
    </xf>
    <xf numFmtId="0" fontId="10" fillId="44" borderId="43" xfId="0" applyFont="1" applyFill="1" applyBorder="1" applyAlignment="1" applyProtection="1">
      <alignment horizontal="center" vertical="top" wrapText="1"/>
      <protection/>
    </xf>
    <xf numFmtId="0" fontId="10" fillId="44" borderId="43" xfId="0" applyFont="1" applyFill="1" applyBorder="1" applyAlignment="1" applyProtection="1">
      <alignment horizontal="left" vertical="top" wrapText="1"/>
      <protection/>
    </xf>
    <xf numFmtId="0" fontId="10" fillId="44" borderId="43" xfId="0" applyFont="1" applyFill="1" applyBorder="1" applyAlignment="1" applyProtection="1">
      <alignment horizontal="right" vertical="top" wrapText="1"/>
      <protection/>
    </xf>
    <xf numFmtId="0" fontId="10" fillId="47" borderId="43" xfId="0" applyFont="1" applyFill="1" applyBorder="1" applyAlignment="1" applyProtection="1">
      <alignment horizontal="center" vertical="top" wrapText="1"/>
      <protection/>
    </xf>
    <xf numFmtId="0" fontId="10" fillId="47" borderId="43" xfId="0" applyFont="1" applyFill="1" applyBorder="1" applyAlignment="1" applyProtection="1">
      <alignment horizontal="left" vertical="top" wrapText="1"/>
      <protection/>
    </xf>
    <xf numFmtId="0" fontId="10" fillId="47" borderId="43" xfId="0" applyFont="1" applyFill="1" applyBorder="1" applyAlignment="1" applyProtection="1">
      <alignment horizontal="right" vertical="top" wrapText="1"/>
      <protection/>
    </xf>
    <xf numFmtId="0" fontId="10" fillId="48" borderId="43" xfId="0" applyFont="1" applyFill="1" applyBorder="1" applyAlignment="1" applyProtection="1">
      <alignment horizontal="center" vertical="top" wrapText="1"/>
      <protection/>
    </xf>
    <xf numFmtId="0" fontId="10" fillId="48" borderId="43" xfId="0" applyFont="1" applyFill="1" applyBorder="1" applyAlignment="1" applyProtection="1">
      <alignment horizontal="left" vertical="top" wrapText="1"/>
      <protection/>
    </xf>
    <xf numFmtId="0" fontId="10" fillId="48" borderId="43" xfId="0" applyFont="1" applyFill="1" applyBorder="1" applyAlignment="1" applyProtection="1">
      <alignment horizontal="right" vertical="top" wrapText="1"/>
      <protection/>
    </xf>
    <xf numFmtId="0" fontId="10" fillId="48" borderId="42" xfId="0" applyFont="1" applyFill="1" applyBorder="1" applyAlignment="1" applyProtection="1">
      <alignment horizontal="center" vertical="top" wrapText="1"/>
      <protection/>
    </xf>
    <xf numFmtId="0" fontId="10" fillId="48" borderId="42" xfId="0" applyFont="1" applyFill="1" applyBorder="1" applyAlignment="1" applyProtection="1">
      <alignment horizontal="left" vertical="top" wrapText="1"/>
      <protection/>
    </xf>
    <xf numFmtId="0" fontId="10" fillId="48" borderId="42" xfId="0" applyFont="1" applyFill="1" applyBorder="1" applyAlignment="1" applyProtection="1">
      <alignment horizontal="right" vertical="top" wrapText="1"/>
      <protection/>
    </xf>
    <xf numFmtId="0" fontId="10" fillId="48" borderId="21" xfId="0" applyFont="1" applyFill="1" applyBorder="1" applyAlignment="1" applyProtection="1">
      <alignment horizontal="center" vertical="top" wrapText="1"/>
      <protection/>
    </xf>
    <xf numFmtId="0" fontId="10" fillId="48" borderId="21" xfId="0" applyFont="1" applyFill="1" applyBorder="1" applyAlignment="1" applyProtection="1">
      <alignment horizontal="left" vertical="top" wrapText="1"/>
      <protection/>
    </xf>
    <xf numFmtId="0" fontId="10" fillId="48" borderId="21" xfId="0" applyFont="1" applyFill="1" applyBorder="1" applyAlignment="1" applyProtection="1">
      <alignment horizontal="right" vertical="top" wrapText="1"/>
      <protection/>
    </xf>
    <xf numFmtId="0" fontId="5" fillId="0" borderId="0" xfId="0" applyFont="1" applyBorder="1" applyAlignment="1" applyProtection="1">
      <alignment horizontal="center" vertical="top" wrapText="1"/>
      <protection/>
    </xf>
    <xf numFmtId="0" fontId="3" fillId="35" borderId="10" xfId="0" applyFont="1" applyFill="1" applyBorder="1" applyAlignment="1" applyProtection="1">
      <alignment horizontal="center" vertical="center" wrapText="1"/>
      <protection/>
    </xf>
    <xf numFmtId="0" fontId="3" fillId="35" borderId="23" xfId="0" applyFont="1" applyFill="1" applyBorder="1" applyAlignment="1" applyProtection="1">
      <alignment vertical="center" wrapText="1"/>
      <protection/>
    </xf>
    <xf numFmtId="0" fontId="2" fillId="0" borderId="44" xfId="0" applyFont="1" applyBorder="1" applyAlignment="1" applyProtection="1">
      <alignment/>
      <protection/>
    </xf>
    <xf numFmtId="0" fontId="2" fillId="0" borderId="45" xfId="0" applyFont="1" applyBorder="1" applyAlignment="1" applyProtection="1">
      <alignment/>
      <protection/>
    </xf>
    <xf numFmtId="0" fontId="0" fillId="0" borderId="0" xfId="0" applyFont="1" applyAlignment="1">
      <alignment vertical="top" wrapText="1"/>
    </xf>
    <xf numFmtId="1" fontId="3" fillId="0" borderId="46" xfId="0" applyNumberFormat="1" applyFont="1" applyBorder="1" applyAlignment="1" applyProtection="1">
      <alignment horizontal="center"/>
      <protection/>
    </xf>
    <xf numFmtId="0" fontId="2" fillId="0" borderId="0" xfId="0" applyFont="1" applyBorder="1" applyAlignment="1" applyProtection="1">
      <alignment/>
      <protection/>
    </xf>
    <xf numFmtId="0" fontId="2" fillId="0" borderId="47" xfId="0" applyFont="1" applyBorder="1" applyAlignment="1" applyProtection="1">
      <alignment/>
      <protection/>
    </xf>
    <xf numFmtId="1" fontId="3" fillId="39" borderId="46" xfId="0" applyNumberFormat="1" applyFont="1" applyFill="1" applyBorder="1" applyAlignment="1" applyProtection="1">
      <alignment/>
      <protection/>
    </xf>
    <xf numFmtId="0" fontId="2" fillId="39" borderId="0" xfId="0" applyFont="1" applyFill="1" applyBorder="1" applyAlignment="1" applyProtection="1">
      <alignment/>
      <protection/>
    </xf>
    <xf numFmtId="166" fontId="2" fillId="39" borderId="47" xfId="0" applyNumberFormat="1" applyFont="1" applyFill="1" applyBorder="1" applyAlignment="1" applyProtection="1">
      <alignment/>
      <protection/>
    </xf>
    <xf numFmtId="0" fontId="2" fillId="39" borderId="0" xfId="0" applyFont="1" applyFill="1" applyBorder="1" applyAlignment="1" applyProtection="1">
      <alignment vertical="top" wrapText="1"/>
      <protection/>
    </xf>
    <xf numFmtId="0" fontId="3" fillId="0" borderId="46" xfId="0" applyFont="1" applyBorder="1" applyAlignment="1" applyProtection="1">
      <alignment horizontal="center" vertical="top" wrapText="1"/>
      <protection/>
    </xf>
    <xf numFmtId="0" fontId="3" fillId="0" borderId="10" xfId="0" applyFont="1" applyBorder="1" applyAlignment="1" applyProtection="1">
      <alignment vertical="center" wrapText="1"/>
      <protection/>
    </xf>
    <xf numFmtId="0" fontId="3" fillId="0" borderId="22" xfId="0" applyFont="1" applyBorder="1" applyAlignment="1" applyProtection="1">
      <alignment vertical="center" wrapText="1"/>
      <protection/>
    </xf>
    <xf numFmtId="0" fontId="3" fillId="0" borderId="10" xfId="0" applyFont="1" applyBorder="1" applyAlignment="1" applyProtection="1">
      <alignment horizontal="center" vertical="center" wrapText="1"/>
      <protection/>
    </xf>
    <xf numFmtId="0" fontId="3" fillId="33" borderId="10" xfId="0" applyFont="1" applyFill="1" applyBorder="1" applyAlignment="1" applyProtection="1">
      <alignment vertical="center" wrapText="1"/>
      <protection/>
    </xf>
    <xf numFmtId="166" fontId="2" fillId="0" borderId="47" xfId="0" applyNumberFormat="1" applyFont="1" applyBorder="1" applyAlignment="1" applyProtection="1">
      <alignment/>
      <protection/>
    </xf>
    <xf numFmtId="0" fontId="6" fillId="39" borderId="10" xfId="0" applyFont="1" applyFill="1" applyBorder="1" applyAlignment="1" applyProtection="1">
      <alignment horizontal="left" vertical="center" wrapText="1"/>
      <protection/>
    </xf>
    <xf numFmtId="0" fontId="6" fillId="39" borderId="22" xfId="0" applyFont="1" applyFill="1" applyBorder="1" applyAlignment="1" applyProtection="1">
      <alignment vertical="center" wrapText="1"/>
      <protection/>
    </xf>
    <xf numFmtId="0" fontId="6" fillId="39" borderId="10" xfId="0" applyFont="1" applyFill="1" applyBorder="1" applyAlignment="1" applyProtection="1">
      <alignment horizontal="center" vertical="center" wrapText="1"/>
      <protection/>
    </xf>
    <xf numFmtId="0" fontId="6" fillId="39" borderId="10" xfId="0" applyFont="1" applyFill="1" applyBorder="1" applyAlignment="1" applyProtection="1">
      <alignment vertical="center" wrapText="1"/>
      <protection/>
    </xf>
    <xf numFmtId="166" fontId="6" fillId="39" borderId="10" xfId="45" applyFont="1" applyFill="1" applyBorder="1" applyAlignment="1" applyProtection="1">
      <alignment vertical="center" wrapText="1"/>
      <protection/>
    </xf>
    <xf numFmtId="0" fontId="3" fillId="33" borderId="46" xfId="0" applyFont="1" applyFill="1" applyBorder="1" applyAlignment="1" applyProtection="1">
      <alignment horizontal="center" vertical="top" wrapText="1"/>
      <protection/>
    </xf>
    <xf numFmtId="0" fontId="6" fillId="33" borderId="19" xfId="0" applyFont="1" applyFill="1" applyBorder="1" applyAlignment="1" applyProtection="1">
      <alignment vertical="center" wrapText="1"/>
      <protection/>
    </xf>
    <xf numFmtId="0" fontId="6" fillId="33" borderId="19" xfId="0" applyFont="1" applyFill="1" applyBorder="1" applyAlignment="1" applyProtection="1">
      <alignment horizontal="center" vertical="center" wrapText="1"/>
      <protection/>
    </xf>
    <xf numFmtId="166" fontId="6" fillId="33" borderId="19" xfId="45" applyFont="1" applyFill="1" applyBorder="1" applyAlignment="1" applyProtection="1">
      <alignment vertical="center" wrapText="1"/>
      <protection/>
    </xf>
    <xf numFmtId="0" fontId="2" fillId="33" borderId="0" xfId="0" applyFont="1" applyFill="1" applyBorder="1" applyAlignment="1" applyProtection="1">
      <alignment/>
      <protection/>
    </xf>
    <xf numFmtId="0" fontId="2" fillId="33" borderId="47" xfId="0" applyFont="1" applyFill="1" applyBorder="1" applyAlignment="1" applyProtection="1">
      <alignment/>
      <protection/>
    </xf>
    <xf numFmtId="0" fontId="2" fillId="33" borderId="0" xfId="0" applyFont="1" applyFill="1" applyBorder="1" applyAlignment="1" applyProtection="1">
      <alignment vertical="top" wrapText="1"/>
      <protection/>
    </xf>
    <xf numFmtId="0" fontId="6" fillId="0" borderId="46" xfId="0" applyFont="1" applyBorder="1" applyAlignment="1" applyProtection="1">
      <alignment horizontal="center" vertical="top" wrapText="1"/>
      <protection/>
    </xf>
    <xf numFmtId="0" fontId="20" fillId="0" borderId="0" xfId="0" applyFont="1" applyBorder="1" applyAlignment="1" applyProtection="1">
      <alignment/>
      <protection/>
    </xf>
    <xf numFmtId="0" fontId="20" fillId="0" borderId="47" xfId="0" applyFont="1" applyBorder="1" applyAlignment="1" applyProtection="1">
      <alignment/>
      <protection/>
    </xf>
    <xf numFmtId="0" fontId="20" fillId="0" borderId="0" xfId="0" applyFont="1" applyBorder="1" applyAlignment="1" applyProtection="1">
      <alignment vertical="top" wrapText="1"/>
      <protection/>
    </xf>
    <xf numFmtId="0" fontId="21" fillId="0" borderId="46" xfId="0" applyFont="1" applyBorder="1" applyAlignment="1" applyProtection="1">
      <alignment horizontal="center" vertical="top" wrapText="1"/>
      <protection/>
    </xf>
    <xf numFmtId="0" fontId="21" fillId="39" borderId="10" xfId="0" applyFont="1" applyFill="1" applyBorder="1" applyAlignment="1" applyProtection="1">
      <alignment horizontal="left" vertical="center" wrapText="1"/>
      <protection/>
    </xf>
    <xf numFmtId="0" fontId="21" fillId="39" borderId="22" xfId="0" applyFont="1" applyFill="1" applyBorder="1" applyAlignment="1" applyProtection="1">
      <alignment vertical="center" wrapText="1"/>
      <protection/>
    </xf>
    <xf numFmtId="0" fontId="21" fillId="39" borderId="10" xfId="0" applyFont="1" applyFill="1" applyBorder="1" applyAlignment="1" applyProtection="1">
      <alignment horizontal="center" vertical="center" wrapText="1"/>
      <protection/>
    </xf>
    <xf numFmtId="0" fontId="21" fillId="39" borderId="10" xfId="0" applyFont="1" applyFill="1" applyBorder="1" applyAlignment="1" applyProtection="1">
      <alignment vertical="center" wrapText="1"/>
      <protection/>
    </xf>
    <xf numFmtId="166" fontId="21" fillId="39" borderId="10" xfId="45" applyFont="1" applyFill="1" applyBorder="1" applyAlignment="1" applyProtection="1">
      <alignment vertical="center" wrapText="1"/>
      <protection/>
    </xf>
    <xf numFmtId="0" fontId="22" fillId="0" borderId="0" xfId="0" applyFont="1" applyBorder="1" applyAlignment="1" applyProtection="1">
      <alignment/>
      <protection/>
    </xf>
    <xf numFmtId="0" fontId="22" fillId="0" borderId="47" xfId="0" applyFont="1" applyBorder="1" applyAlignment="1" applyProtection="1">
      <alignment/>
      <protection/>
    </xf>
    <xf numFmtId="0" fontId="22" fillId="0" borderId="0" xfId="0" applyFont="1" applyBorder="1" applyAlignment="1" applyProtection="1">
      <alignment vertical="top" wrapText="1"/>
      <protection/>
    </xf>
    <xf numFmtId="0" fontId="6" fillId="38" borderId="46" xfId="0" applyFont="1" applyFill="1" applyBorder="1" applyAlignment="1" applyProtection="1">
      <alignment horizontal="center" vertical="top" wrapText="1"/>
      <protection/>
    </xf>
    <xf numFmtId="0" fontId="20" fillId="38" borderId="0" xfId="0" applyFont="1" applyFill="1" applyBorder="1" applyAlignment="1" applyProtection="1">
      <alignment/>
      <protection/>
    </xf>
    <xf numFmtId="0" fontId="20" fillId="38" borderId="47" xfId="0" applyFont="1" applyFill="1" applyBorder="1" applyAlignment="1" applyProtection="1">
      <alignment/>
      <protection/>
    </xf>
    <xf numFmtId="0" fontId="20" fillId="38" borderId="0" xfId="0" applyFont="1" applyFill="1" applyBorder="1" applyAlignment="1" applyProtection="1">
      <alignment vertical="top" wrapText="1"/>
      <protection/>
    </xf>
    <xf numFmtId="0" fontId="21" fillId="38" borderId="46" xfId="0" applyFont="1" applyFill="1" applyBorder="1" applyAlignment="1" applyProtection="1">
      <alignment horizontal="center" vertical="top" wrapText="1"/>
      <protection/>
    </xf>
    <xf numFmtId="0" fontId="21" fillId="39" borderId="39" xfId="0" applyFont="1" applyFill="1" applyBorder="1" applyAlignment="1" applyProtection="1">
      <alignment horizontal="center" vertical="center" wrapText="1"/>
      <protection/>
    </xf>
    <xf numFmtId="0" fontId="21" fillId="39" borderId="39" xfId="0" applyFont="1" applyFill="1" applyBorder="1" applyAlignment="1" applyProtection="1">
      <alignment vertical="center" wrapText="1"/>
      <protection/>
    </xf>
    <xf numFmtId="166" fontId="21" fillId="39" borderId="39" xfId="45" applyFont="1" applyFill="1" applyBorder="1" applyAlignment="1" applyProtection="1">
      <alignment vertical="center" wrapText="1"/>
      <protection/>
    </xf>
    <xf numFmtId="0" fontId="22" fillId="38" borderId="0" xfId="0" applyFont="1" applyFill="1" applyBorder="1" applyAlignment="1" applyProtection="1">
      <alignment/>
      <protection/>
    </xf>
    <xf numFmtId="0" fontId="22" fillId="38" borderId="47" xfId="0" applyFont="1" applyFill="1" applyBorder="1" applyAlignment="1" applyProtection="1">
      <alignment/>
      <protection/>
    </xf>
    <xf numFmtId="0" fontId="22" fillId="38"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3" fillId="49" borderId="46" xfId="0" applyFont="1" applyFill="1" applyBorder="1" applyAlignment="1" applyProtection="1">
      <alignment horizontal="center" vertical="top" wrapText="1"/>
      <protection/>
    </xf>
    <xf numFmtId="0" fontId="2" fillId="49" borderId="0" xfId="0" applyFont="1" applyFill="1" applyBorder="1" applyAlignment="1" applyProtection="1">
      <alignment vertical="top" wrapText="1"/>
      <protection/>
    </xf>
    <xf numFmtId="0" fontId="2" fillId="49" borderId="0" xfId="0" applyFont="1" applyFill="1" applyBorder="1" applyAlignment="1" applyProtection="1">
      <alignment/>
      <protection/>
    </xf>
    <xf numFmtId="0" fontId="2" fillId="49" borderId="47" xfId="0" applyFont="1" applyFill="1" applyBorder="1" applyAlignment="1" applyProtection="1">
      <alignment/>
      <protection/>
    </xf>
    <xf numFmtId="1" fontId="6" fillId="39" borderId="46" xfId="0" applyNumberFormat="1" applyFont="1" applyFill="1" applyBorder="1" applyAlignment="1" applyProtection="1">
      <alignment horizontal="center"/>
      <protection/>
    </xf>
    <xf numFmtId="0" fontId="6" fillId="39" borderId="48" xfId="0" applyFont="1" applyFill="1" applyBorder="1" applyAlignment="1" applyProtection="1">
      <alignment vertical="center" wrapText="1"/>
      <protection/>
    </xf>
    <xf numFmtId="0" fontId="6" fillId="39" borderId="49" xfId="0" applyFont="1" applyFill="1" applyBorder="1" applyAlignment="1" applyProtection="1">
      <alignment vertical="center" wrapText="1"/>
      <protection/>
    </xf>
    <xf numFmtId="0" fontId="6" fillId="39" borderId="39" xfId="0" applyFont="1" applyFill="1" applyBorder="1" applyAlignment="1" applyProtection="1">
      <alignment horizontal="center" vertical="center" wrapText="1"/>
      <protection/>
    </xf>
    <xf numFmtId="0" fontId="6" fillId="39" borderId="39" xfId="0" applyFont="1" applyFill="1" applyBorder="1" applyAlignment="1" applyProtection="1">
      <alignment vertical="center" wrapText="1"/>
      <protection/>
    </xf>
    <xf numFmtId="166" fontId="6" fillId="39" borderId="39" xfId="45" applyFont="1" applyFill="1" applyBorder="1" applyAlignment="1" applyProtection="1">
      <alignment vertical="center" wrapText="1"/>
      <protection/>
    </xf>
    <xf numFmtId="0" fontId="20" fillId="39" borderId="0" xfId="0" applyFont="1" applyFill="1" applyBorder="1" applyAlignment="1" applyProtection="1">
      <alignment/>
      <protection/>
    </xf>
    <xf numFmtId="0" fontId="20" fillId="39" borderId="47" xfId="0" applyFont="1" applyFill="1" applyBorder="1" applyAlignment="1" applyProtection="1">
      <alignment/>
      <protection/>
    </xf>
    <xf numFmtId="0" fontId="20" fillId="39" borderId="0" xfId="0" applyFont="1" applyFill="1" applyBorder="1" applyAlignment="1" applyProtection="1">
      <alignment vertical="top" wrapText="1"/>
      <protection/>
    </xf>
    <xf numFmtId="0" fontId="6" fillId="39" borderId="14" xfId="0" applyFont="1" applyFill="1" applyBorder="1" applyAlignment="1" applyProtection="1">
      <alignment vertical="center" wrapText="1"/>
      <protection/>
    </xf>
    <xf numFmtId="2" fontId="3" fillId="33" borderId="46" xfId="0" applyNumberFormat="1" applyFont="1" applyFill="1" applyBorder="1" applyAlignment="1" applyProtection="1">
      <alignment horizontal="center"/>
      <protection/>
    </xf>
    <xf numFmtId="0" fontId="23" fillId="0" borderId="0" xfId="0" applyFont="1" applyBorder="1" applyAlignment="1" applyProtection="1">
      <alignment vertical="top" wrapText="1"/>
      <protection/>
    </xf>
    <xf numFmtId="0" fontId="6" fillId="33" borderId="50" xfId="0" applyFont="1" applyFill="1" applyBorder="1" applyAlignment="1" applyProtection="1">
      <alignment vertical="center" wrapText="1"/>
      <protection/>
    </xf>
    <xf numFmtId="0" fontId="6" fillId="33" borderId="50" xfId="0" applyFont="1" applyFill="1" applyBorder="1" applyAlignment="1" applyProtection="1">
      <alignment horizontal="center" vertical="center" wrapText="1"/>
      <protection/>
    </xf>
    <xf numFmtId="166" fontId="6" fillId="33" borderId="50" xfId="45" applyFont="1" applyFill="1" applyBorder="1" applyAlignment="1" applyProtection="1">
      <alignment vertical="center" wrapText="1"/>
      <protection/>
    </xf>
    <xf numFmtId="0" fontId="2" fillId="0" borderId="0" xfId="0" applyFont="1" applyBorder="1" applyAlignment="1" applyProtection="1">
      <alignment horizontal="center" vertical="top" wrapText="1"/>
      <protection/>
    </xf>
    <xf numFmtId="0" fontId="2" fillId="0" borderId="43" xfId="0" applyFont="1" applyBorder="1" applyAlignment="1" applyProtection="1">
      <alignment vertical="top" wrapText="1"/>
      <protection/>
    </xf>
    <xf numFmtId="0" fontId="10" fillId="50" borderId="42" xfId="0" applyFont="1" applyFill="1" applyBorder="1" applyAlignment="1" applyProtection="1">
      <alignment horizontal="center" vertical="top" wrapText="1"/>
      <protection/>
    </xf>
    <xf numFmtId="0" fontId="10" fillId="50" borderId="42" xfId="0" applyFont="1" applyFill="1" applyBorder="1" applyAlignment="1" applyProtection="1">
      <alignment horizontal="left" vertical="top" wrapText="1"/>
      <protection/>
    </xf>
    <xf numFmtId="0" fontId="10" fillId="50" borderId="42" xfId="0" applyFont="1" applyFill="1" applyBorder="1" applyAlignment="1" applyProtection="1">
      <alignment horizontal="right" vertical="top" wrapText="1"/>
      <protection/>
    </xf>
    <xf numFmtId="4" fontId="2" fillId="0" borderId="0" xfId="0" applyNumberFormat="1" applyFont="1" applyBorder="1" applyAlignment="1">
      <alignment horizontal="right" vertical="top" wrapText="1"/>
    </xf>
    <xf numFmtId="0" fontId="3" fillId="51" borderId="0" xfId="0" applyFont="1" applyFill="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4" fontId="2" fillId="0" borderId="51" xfId="0" applyNumberFormat="1" applyFont="1" applyBorder="1" applyAlignment="1">
      <alignment horizontal="right" vertical="top" wrapText="1"/>
    </xf>
    <xf numFmtId="0" fontId="0" fillId="0" borderId="28" xfId="0" applyBorder="1" applyAlignment="1">
      <alignment vertical="top" wrapText="1"/>
    </xf>
    <xf numFmtId="0" fontId="3" fillId="35" borderId="52" xfId="0" applyFont="1" applyFill="1" applyBorder="1" applyAlignment="1" applyProtection="1">
      <alignment horizontal="justify" vertical="center" wrapText="1"/>
      <protection/>
    </xf>
    <xf numFmtId="0" fontId="0" fillId="0" borderId="27" xfId="0" applyBorder="1" applyAlignment="1">
      <alignment vertical="top" wrapText="1"/>
    </xf>
    <xf numFmtId="0" fontId="3" fillId="35" borderId="29" xfId="0" applyFont="1" applyFill="1" applyBorder="1" applyAlignment="1" applyProtection="1">
      <alignment vertical="center" wrapText="1"/>
      <protection/>
    </xf>
    <xf numFmtId="0" fontId="0" fillId="0" borderId="27" xfId="0" applyFont="1" applyBorder="1" applyAlignment="1">
      <alignment vertical="top" wrapText="1"/>
    </xf>
    <xf numFmtId="0" fontId="0" fillId="0" borderId="53" xfId="0" applyBorder="1" applyAlignment="1">
      <alignment vertical="top" wrapText="1"/>
    </xf>
    <xf numFmtId="0" fontId="0" fillId="0" borderId="50" xfId="0" applyBorder="1" applyAlignment="1">
      <alignment vertical="top" wrapText="1"/>
    </xf>
    <xf numFmtId="0" fontId="0" fillId="0" borderId="54" xfId="0" applyBorder="1" applyAlignment="1">
      <alignment vertical="top" wrapText="1"/>
    </xf>
    <xf numFmtId="0" fontId="3" fillId="35" borderId="32" xfId="0" applyFont="1" applyFill="1" applyBorder="1" applyAlignment="1" applyProtection="1">
      <alignment horizontal="center" vertical="center" wrapText="1"/>
      <protection/>
    </xf>
    <xf numFmtId="0" fontId="8" fillId="35" borderId="55" xfId="0" applyFont="1" applyFill="1" applyBorder="1" applyAlignment="1" applyProtection="1">
      <alignment horizontal="center" vertical="center"/>
      <protection/>
    </xf>
    <xf numFmtId="0" fontId="3" fillId="35" borderId="56" xfId="0" applyFont="1" applyFill="1" applyBorder="1" applyAlignment="1" applyProtection="1">
      <alignment horizontal="left" vertical="center" wrapText="1"/>
      <protection/>
    </xf>
    <xf numFmtId="0" fontId="3" fillId="35" borderId="57" xfId="0" applyFont="1" applyFill="1" applyBorder="1" applyAlignment="1" applyProtection="1">
      <alignment horizontal="left" vertical="center" wrapText="1"/>
      <protection/>
    </xf>
    <xf numFmtId="0" fontId="3" fillId="35" borderId="57" xfId="0" applyFont="1" applyFill="1" applyBorder="1" applyAlignment="1" applyProtection="1">
      <alignment horizontal="center" vertical="center" wrapText="1"/>
      <protection/>
    </xf>
    <xf numFmtId="0" fontId="8" fillId="35" borderId="58" xfId="0" applyFont="1" applyFill="1" applyBorder="1" applyAlignment="1" applyProtection="1">
      <alignment horizontal="center" vertical="center"/>
      <protection/>
    </xf>
    <xf numFmtId="166" fontId="3" fillId="0" borderId="10" xfId="45" applyFont="1" applyBorder="1" applyAlignment="1" applyProtection="1">
      <alignment horizontal="center" vertical="center" wrapText="1"/>
      <protection/>
    </xf>
    <xf numFmtId="0" fontId="18" fillId="0" borderId="10" xfId="0" applyFont="1" applyBorder="1" applyAlignment="1" applyProtection="1">
      <alignment horizontal="right" vertical="center" wrapText="1"/>
      <protection/>
    </xf>
    <xf numFmtId="0" fontId="18" fillId="0" borderId="59" xfId="0" applyFont="1" applyBorder="1" applyAlignment="1" applyProtection="1">
      <alignment horizontal="justify" vertical="center" wrapText="1"/>
      <protection/>
    </xf>
    <xf numFmtId="0" fontId="3" fillId="0" borderId="60" xfId="0" applyFont="1" applyBorder="1" applyAlignment="1" applyProtection="1">
      <alignment horizontal="justify" vertical="center" wrapText="1"/>
      <protection/>
    </xf>
    <xf numFmtId="0" fontId="18" fillId="0" borderId="60" xfId="0" applyFont="1" applyBorder="1" applyAlignment="1" applyProtection="1">
      <alignment horizontal="right" vertical="center" wrapText="1"/>
      <protection/>
    </xf>
    <xf numFmtId="0" fontId="18" fillId="0" borderId="61" xfId="0" applyFont="1" applyBorder="1" applyAlignment="1" applyProtection="1">
      <alignment horizontal="right" vertical="center" wrapText="1"/>
      <protection/>
    </xf>
    <xf numFmtId="0" fontId="18" fillId="0" borderId="10" xfId="0" applyFont="1" applyBorder="1" applyAlignment="1" applyProtection="1">
      <alignment horizontal="center" vertical="center" wrapText="1"/>
      <protection/>
    </xf>
    <xf numFmtId="0" fontId="3" fillId="0" borderId="56" xfId="0" applyFont="1" applyBorder="1" applyAlignment="1" applyProtection="1">
      <alignment horizontal="justify" vertical="center" wrapText="1"/>
      <protection/>
    </xf>
    <xf numFmtId="0" fontId="3" fillId="0" borderId="57" xfId="0" applyFont="1" applyBorder="1" applyAlignment="1" applyProtection="1">
      <alignment horizontal="center" vertical="center" wrapText="1"/>
      <protection/>
    </xf>
    <xf numFmtId="166" fontId="3" fillId="0" borderId="57" xfId="45" applyFont="1" applyBorder="1" applyAlignment="1" applyProtection="1">
      <alignment horizontal="center" vertical="center" wrapText="1"/>
      <protection/>
    </xf>
    <xf numFmtId="0" fontId="5" fillId="0" borderId="58" xfId="0" applyFont="1" applyBorder="1" applyAlignment="1" applyProtection="1">
      <alignment horizontal="center" vertical="top"/>
      <protection/>
    </xf>
    <xf numFmtId="0" fontId="18" fillId="0" borderId="60" xfId="0" applyFont="1" applyBorder="1" applyAlignment="1" applyProtection="1">
      <alignment horizontal="justify" vertical="center" wrapText="1"/>
      <protection/>
    </xf>
    <xf numFmtId="0" fontId="3" fillId="0" borderId="10" xfId="0" applyFont="1" applyBorder="1" applyAlignment="1" applyProtection="1">
      <alignment horizontal="center" vertical="center" wrapText="1"/>
      <protection/>
    </xf>
    <xf numFmtId="0" fontId="6" fillId="35" borderId="23" xfId="0" applyFont="1" applyFill="1" applyBorder="1" applyAlignment="1" applyProtection="1">
      <alignment horizontal="left" vertical="center" wrapText="1"/>
      <protection/>
    </xf>
    <xf numFmtId="0" fontId="6" fillId="35" borderId="23" xfId="0" applyFont="1" applyFill="1" applyBorder="1" applyAlignment="1" applyProtection="1">
      <alignment horizontal="center" vertical="center" wrapText="1"/>
      <protection/>
    </xf>
    <xf numFmtId="167" fontId="17" fillId="38" borderId="40" xfId="0" applyNumberFormat="1" applyFont="1" applyFill="1" applyBorder="1" applyAlignment="1" applyProtection="1">
      <alignment horizontal="left" vertical="top" wrapText="1"/>
      <protection/>
    </xf>
    <xf numFmtId="0" fontId="3" fillId="0" borderId="39" xfId="0" applyFont="1" applyBorder="1" applyAlignment="1" applyProtection="1">
      <alignment horizontal="center" vertical="center" wrapText="1"/>
      <protection/>
    </xf>
    <xf numFmtId="0" fontId="8" fillId="52" borderId="39" xfId="0" applyFont="1" applyFill="1" applyBorder="1" applyAlignment="1" applyProtection="1">
      <alignment horizontal="center" vertical="top"/>
      <protection/>
    </xf>
    <xf numFmtId="0" fontId="6" fillId="35" borderId="40" xfId="0" applyFont="1" applyFill="1" applyBorder="1" applyAlignment="1" applyProtection="1">
      <alignment horizontal="justify" vertical="center" wrapText="1"/>
      <protection/>
    </xf>
    <xf numFmtId="0" fontId="6" fillId="35" borderId="19" xfId="0" applyFont="1" applyFill="1" applyBorder="1" applyAlignment="1" applyProtection="1">
      <alignment vertical="center"/>
      <protection/>
    </xf>
    <xf numFmtId="0" fontId="6" fillId="35" borderId="19" xfId="0" applyFont="1" applyFill="1" applyBorder="1" applyAlignment="1" applyProtection="1">
      <alignment horizontal="center" vertical="center" wrapText="1"/>
      <protection/>
    </xf>
    <xf numFmtId="0" fontId="8" fillId="35" borderId="19" xfId="0" applyFont="1" applyFill="1" applyBorder="1" applyAlignment="1" applyProtection="1">
      <alignment horizontal="center" vertical="top"/>
      <protection/>
    </xf>
    <xf numFmtId="0" fontId="6" fillId="35" borderId="40" xfId="0" applyFont="1" applyFill="1" applyBorder="1" applyAlignment="1" applyProtection="1">
      <alignment horizontal="justify" vertical="center" wrapText="1"/>
      <protection/>
    </xf>
    <xf numFmtId="0" fontId="6" fillId="35" borderId="19" xfId="0" applyFont="1" applyFill="1" applyBorder="1" applyAlignment="1" applyProtection="1">
      <alignment vertical="center" wrapText="1"/>
      <protection/>
    </xf>
    <xf numFmtId="0" fontId="6" fillId="35" borderId="19" xfId="0" applyFont="1" applyFill="1" applyBorder="1" applyAlignment="1" applyProtection="1">
      <alignment horizontal="center" vertical="center" wrapText="1"/>
      <protection/>
    </xf>
    <xf numFmtId="0" fontId="24" fillId="35" borderId="19" xfId="0" applyFont="1" applyFill="1" applyBorder="1" applyAlignment="1" applyProtection="1">
      <alignment horizontal="center" vertical="top"/>
      <protection/>
    </xf>
    <xf numFmtId="0" fontId="3" fillId="51" borderId="28" xfId="0" applyFont="1" applyFill="1" applyBorder="1" applyAlignment="1" applyProtection="1">
      <alignment horizontal="center" vertical="center" wrapText="1"/>
      <protection/>
    </xf>
    <xf numFmtId="0" fontId="0" fillId="51" borderId="0" xfId="0" applyFont="1" applyFill="1" applyBorder="1" applyAlignment="1" applyProtection="1">
      <alignment vertical="top" wrapText="1"/>
      <protection/>
    </xf>
    <xf numFmtId="0" fontId="0" fillId="51" borderId="28" xfId="0" applyFont="1" applyFill="1" applyBorder="1" applyAlignment="1" applyProtection="1">
      <alignment vertical="top" wrapText="1"/>
      <protection/>
    </xf>
    <xf numFmtId="0" fontId="0" fillId="51" borderId="0" xfId="0" applyFill="1" applyBorder="1" applyAlignment="1">
      <alignment vertical="top" wrapText="1"/>
    </xf>
    <xf numFmtId="0" fontId="0" fillId="51" borderId="28" xfId="0" applyFill="1" applyBorder="1" applyAlignment="1">
      <alignment vertical="top" wrapText="1"/>
    </xf>
    <xf numFmtId="0" fontId="2" fillId="0" borderId="0" xfId="0" applyFont="1" applyBorder="1" applyAlignment="1" applyProtection="1">
      <alignment horizontal="left" vertical="top" wrapText="1"/>
      <protection/>
    </xf>
    <xf numFmtId="167" fontId="6" fillId="38" borderId="62" xfId="0" applyNumberFormat="1" applyFont="1" applyFill="1" applyBorder="1" applyAlignment="1" applyProtection="1" quotePrefix="1">
      <alignment horizontal="left" vertical="center" wrapText="1"/>
      <protection/>
    </xf>
    <xf numFmtId="0" fontId="6" fillId="38" borderId="62" xfId="0" applyFont="1" applyFill="1" applyBorder="1" applyAlignment="1" applyProtection="1" quotePrefix="1">
      <alignment vertical="center" wrapText="1"/>
      <protection/>
    </xf>
    <xf numFmtId="0" fontId="18" fillId="0" borderId="0" xfId="0" applyFont="1" applyBorder="1" applyAlignment="1" applyProtection="1">
      <alignment horizontal="center" vertical="center" wrapText="1"/>
      <protection/>
    </xf>
    <xf numFmtId="0" fontId="6" fillId="39" borderId="22" xfId="0" applyFont="1" applyFill="1" applyBorder="1" applyAlignment="1" applyProtection="1">
      <alignment vertical="center" wrapText="1"/>
      <protection/>
    </xf>
    <xf numFmtId="0" fontId="17" fillId="38" borderId="40" xfId="0" applyFont="1" applyFill="1" applyBorder="1" applyAlignment="1" applyProtection="1" quotePrefix="1">
      <alignment vertical="top" wrapText="1"/>
      <protection/>
    </xf>
    <xf numFmtId="0" fontId="6" fillId="39" borderId="40" xfId="0" applyFont="1" applyFill="1" applyBorder="1" applyAlignment="1" applyProtection="1" quotePrefix="1">
      <alignment vertical="top" wrapText="1"/>
      <protection/>
    </xf>
    <xf numFmtId="172" fontId="0" fillId="0" borderId="0" xfId="51" applyNumberFormat="1" applyBorder="1" applyProtection="1">
      <alignment vertical="top" wrapText="1"/>
      <protection/>
    </xf>
    <xf numFmtId="0" fontId="0" fillId="0" borderId="0" xfId="0" applyFont="1" applyAlignment="1">
      <alignment vertical="top" wrapText="1"/>
    </xf>
    <xf numFmtId="0" fontId="3" fillId="0" borderId="0" xfId="0" applyFont="1" applyFill="1" applyBorder="1" applyAlignment="1" applyProtection="1">
      <alignment horizontal="right" vertical="center" wrapText="1"/>
      <protection/>
    </xf>
    <xf numFmtId="0" fontId="6" fillId="35" borderId="19" xfId="0" applyFont="1" applyFill="1" applyBorder="1" applyAlignment="1" applyProtection="1">
      <alignment vertical="center" wrapText="1"/>
      <protection/>
    </xf>
    <xf numFmtId="0" fontId="3" fillId="35" borderId="56" xfId="0" applyFont="1" applyFill="1" applyBorder="1" applyAlignment="1" applyProtection="1">
      <alignment horizontal="justify" vertical="center" wrapText="1"/>
      <protection/>
    </xf>
    <xf numFmtId="0" fontId="6" fillId="35" borderId="57" xfId="0" applyFont="1" applyFill="1" applyBorder="1" applyAlignment="1" applyProtection="1">
      <alignment horizontal="left" vertical="center" wrapText="1"/>
      <protection/>
    </xf>
    <xf numFmtId="0" fontId="6" fillId="35" borderId="57" xfId="0" applyFont="1" applyFill="1" applyBorder="1" applyAlignment="1" applyProtection="1">
      <alignment horizontal="center" vertical="center" wrapText="1"/>
      <protection/>
    </xf>
    <xf numFmtId="0" fontId="21" fillId="35" borderId="57" xfId="0" applyFont="1" applyFill="1" applyBorder="1" applyAlignment="1" applyProtection="1">
      <alignment horizontal="center" vertical="center"/>
      <protection/>
    </xf>
    <xf numFmtId="0" fontId="21" fillId="35" borderId="58" xfId="0" applyFont="1" applyFill="1" applyBorder="1" applyAlignment="1" applyProtection="1">
      <alignment horizontal="center" vertical="center"/>
      <protection/>
    </xf>
    <xf numFmtId="0" fontId="6" fillId="53" borderId="46" xfId="0" applyFont="1" applyFill="1" applyBorder="1" applyAlignment="1" applyProtection="1">
      <alignment horizontal="center" vertical="top" wrapText="1"/>
      <protection/>
    </xf>
    <xf numFmtId="0" fontId="20" fillId="53" borderId="0" xfId="0" applyFont="1" applyFill="1" applyBorder="1" applyAlignment="1" applyProtection="1">
      <alignment/>
      <protection/>
    </xf>
    <xf numFmtId="0" fontId="20" fillId="53" borderId="47" xfId="0" applyFont="1" applyFill="1" applyBorder="1" applyAlignment="1" applyProtection="1">
      <alignment/>
      <protection/>
    </xf>
    <xf numFmtId="0" fontId="20" fillId="53" borderId="0" xfId="0" applyFont="1" applyFill="1" applyBorder="1" applyAlignment="1" applyProtection="1">
      <alignment vertical="top" wrapText="1"/>
      <protection/>
    </xf>
    <xf numFmtId="0" fontId="6" fillId="54" borderId="46" xfId="0" applyFont="1" applyFill="1" applyBorder="1" applyAlignment="1" applyProtection="1">
      <alignment horizontal="center" vertical="top" wrapText="1"/>
      <protection/>
    </xf>
    <xf numFmtId="0" fontId="20" fillId="54" borderId="0" xfId="0" applyFont="1" applyFill="1" applyBorder="1" applyAlignment="1" applyProtection="1">
      <alignment/>
      <protection/>
    </xf>
    <xf numFmtId="0" fontId="20" fillId="54" borderId="47" xfId="0" applyFont="1" applyFill="1" applyBorder="1" applyAlignment="1" applyProtection="1">
      <alignment/>
      <protection/>
    </xf>
    <xf numFmtId="0" fontId="20" fillId="54" borderId="0" xfId="0" applyFont="1" applyFill="1" applyBorder="1" applyAlignment="1" applyProtection="1">
      <alignment vertical="top" wrapText="1"/>
      <protection/>
    </xf>
    <xf numFmtId="0" fontId="3" fillId="53" borderId="46" xfId="0" applyFont="1" applyFill="1" applyBorder="1" applyAlignment="1" applyProtection="1">
      <alignment horizontal="center" vertical="top" wrapText="1"/>
      <protection/>
    </xf>
    <xf numFmtId="0" fontId="2" fillId="53" borderId="0" xfId="0" applyFont="1" applyFill="1" applyBorder="1" applyAlignment="1" applyProtection="1">
      <alignment/>
      <protection/>
    </xf>
    <xf numFmtId="0" fontId="2" fillId="53" borderId="47" xfId="0" applyFont="1" applyFill="1" applyBorder="1" applyAlignment="1" applyProtection="1">
      <alignment/>
      <protection/>
    </xf>
    <xf numFmtId="0" fontId="2" fillId="53" borderId="0" xfId="0" applyFont="1" applyFill="1" applyBorder="1" applyAlignment="1" applyProtection="1">
      <alignment vertical="top" wrapText="1"/>
      <protection/>
    </xf>
    <xf numFmtId="0" fontId="0" fillId="53" borderId="0" xfId="0" applyFont="1" applyFill="1" applyAlignment="1">
      <alignment vertical="top" wrapText="1"/>
    </xf>
    <xf numFmtId="0" fontId="3" fillId="55" borderId="46" xfId="0" applyFont="1" applyFill="1" applyBorder="1" applyAlignment="1" applyProtection="1">
      <alignment horizontal="center"/>
      <protection/>
    </xf>
    <xf numFmtId="0" fontId="2" fillId="55" borderId="0" xfId="0" applyFont="1" applyFill="1" applyBorder="1" applyAlignment="1" applyProtection="1">
      <alignment/>
      <protection/>
    </xf>
    <xf numFmtId="0" fontId="2" fillId="55" borderId="47" xfId="0" applyFont="1" applyFill="1" applyBorder="1" applyAlignment="1" applyProtection="1">
      <alignment/>
      <protection/>
    </xf>
    <xf numFmtId="0" fontId="2" fillId="55" borderId="0" xfId="0" applyFont="1" applyFill="1" applyBorder="1" applyAlignment="1" applyProtection="1">
      <alignment vertical="top" wrapText="1"/>
      <protection/>
    </xf>
    <xf numFmtId="166" fontId="2" fillId="55" borderId="47" xfId="0" applyNumberFormat="1" applyFont="1" applyFill="1" applyBorder="1" applyAlignment="1" applyProtection="1">
      <alignment/>
      <protection/>
    </xf>
    <xf numFmtId="0" fontId="3" fillId="53" borderId="46" xfId="0" applyFont="1" applyFill="1" applyBorder="1" applyAlignment="1" applyProtection="1">
      <alignment horizontal="center"/>
      <protection/>
    </xf>
    <xf numFmtId="1" fontId="3" fillId="53" borderId="46" xfId="0" applyNumberFormat="1" applyFont="1" applyFill="1" applyBorder="1" applyAlignment="1" applyProtection="1">
      <alignment horizontal="center"/>
      <protection/>
    </xf>
    <xf numFmtId="1" fontId="6" fillId="56" borderId="46" xfId="0" applyNumberFormat="1" applyFont="1" applyFill="1" applyBorder="1" applyAlignment="1" applyProtection="1">
      <alignment horizontal="center"/>
      <protection/>
    </xf>
    <xf numFmtId="0" fontId="20" fillId="56" borderId="0" xfId="0" applyFont="1" applyFill="1" applyBorder="1" applyAlignment="1" applyProtection="1">
      <alignment/>
      <protection/>
    </xf>
    <xf numFmtId="0" fontId="20" fillId="56" borderId="47" xfId="0" applyFont="1" applyFill="1" applyBorder="1" applyAlignment="1" applyProtection="1">
      <alignment/>
      <protection/>
    </xf>
    <xf numFmtId="0" fontId="20" fillId="56" borderId="0" xfId="0" applyFont="1" applyFill="1" applyBorder="1" applyAlignment="1" applyProtection="1">
      <alignment vertical="top" wrapText="1"/>
      <protection/>
    </xf>
    <xf numFmtId="0" fontId="3" fillId="54" borderId="46" xfId="0" applyFont="1" applyFill="1" applyBorder="1" applyAlignment="1" applyProtection="1">
      <alignment horizontal="center"/>
      <protection/>
    </xf>
    <xf numFmtId="0" fontId="2" fillId="54" borderId="0" xfId="0" applyFont="1" applyFill="1" applyBorder="1" applyAlignment="1" applyProtection="1">
      <alignment/>
      <protection/>
    </xf>
    <xf numFmtId="0" fontId="2" fillId="54" borderId="47" xfId="0" applyFont="1" applyFill="1" applyBorder="1" applyAlignment="1" applyProtection="1">
      <alignment/>
      <protection/>
    </xf>
    <xf numFmtId="0" fontId="2" fillId="54" borderId="0" xfId="0" applyFont="1" applyFill="1" applyBorder="1" applyAlignment="1" applyProtection="1">
      <alignment vertical="top" wrapText="1"/>
      <protection/>
    </xf>
    <xf numFmtId="2" fontId="3" fillId="54" borderId="46" xfId="0" applyNumberFormat="1" applyFont="1" applyFill="1" applyBorder="1" applyAlignment="1" applyProtection="1">
      <alignment horizontal="center"/>
      <protection/>
    </xf>
    <xf numFmtId="1" fontId="3" fillId="54" borderId="46" xfId="0" applyNumberFormat="1" applyFont="1" applyFill="1" applyBorder="1" applyAlignment="1" applyProtection="1">
      <alignment horizontal="center"/>
      <protection/>
    </xf>
    <xf numFmtId="3" fontId="3" fillId="54" borderId="46" xfId="0" applyNumberFormat="1" applyFont="1" applyFill="1" applyBorder="1" applyAlignment="1" applyProtection="1">
      <alignment horizontal="center"/>
      <protection/>
    </xf>
    <xf numFmtId="0" fontId="2" fillId="57" borderId="0" xfId="0" applyFont="1" applyFill="1" applyBorder="1" applyAlignment="1" applyProtection="1">
      <alignment vertical="top" wrapText="1"/>
      <protection/>
    </xf>
    <xf numFmtId="1" fontId="3" fillId="55" borderId="46" xfId="0" applyNumberFormat="1" applyFont="1" applyFill="1" applyBorder="1" applyAlignment="1" applyProtection="1">
      <alignment horizontal="center"/>
      <protection/>
    </xf>
    <xf numFmtId="0" fontId="6" fillId="58" borderId="46" xfId="0" applyFont="1" applyFill="1" applyBorder="1" applyAlignment="1" applyProtection="1">
      <alignment horizontal="center" vertical="top" wrapText="1"/>
      <protection/>
    </xf>
    <xf numFmtId="0" fontId="20" fillId="58" borderId="0" xfId="0" applyFont="1" applyFill="1" applyBorder="1" applyAlignment="1" applyProtection="1">
      <alignment/>
      <protection/>
    </xf>
    <xf numFmtId="0" fontId="20" fillId="58" borderId="47" xfId="0" applyFont="1" applyFill="1" applyBorder="1" applyAlignment="1" applyProtection="1">
      <alignment/>
      <protection/>
    </xf>
    <xf numFmtId="0" fontId="20" fillId="58" borderId="0" xfId="0" applyFont="1" applyFill="1" applyBorder="1" applyAlignment="1" applyProtection="1">
      <alignment vertical="top" wrapText="1"/>
      <protection/>
    </xf>
    <xf numFmtId="1" fontId="3" fillId="53" borderId="63" xfId="0" applyNumberFormat="1" applyFont="1" applyFill="1" applyBorder="1" applyAlignment="1" applyProtection="1">
      <alignment/>
      <protection/>
    </xf>
    <xf numFmtId="1" fontId="3" fillId="53" borderId="46" xfId="0" applyNumberFormat="1" applyFont="1" applyFill="1" applyBorder="1" applyAlignment="1" applyProtection="1">
      <alignment/>
      <protection/>
    </xf>
    <xf numFmtId="166" fontId="2" fillId="53" borderId="47" xfId="0" applyNumberFormat="1" applyFont="1" applyFill="1" applyBorder="1" applyAlignment="1" applyProtection="1">
      <alignment/>
      <protection/>
    </xf>
    <xf numFmtId="1" fontId="3" fillId="59" borderId="46" xfId="0" applyNumberFormat="1" applyFont="1" applyFill="1" applyBorder="1" applyAlignment="1" applyProtection="1">
      <alignment horizontal="center"/>
      <protection/>
    </xf>
    <xf numFmtId="0" fontId="2" fillId="59" borderId="0" xfId="0" applyFont="1" applyFill="1" applyBorder="1" applyAlignment="1" applyProtection="1">
      <alignment/>
      <protection/>
    </xf>
    <xf numFmtId="0" fontId="2" fillId="59" borderId="47" xfId="0" applyFont="1" applyFill="1" applyBorder="1" applyAlignment="1" applyProtection="1">
      <alignment/>
      <protection/>
    </xf>
    <xf numFmtId="0" fontId="2" fillId="59" borderId="0" xfId="0" applyFont="1" applyFill="1" applyBorder="1" applyAlignment="1" applyProtection="1">
      <alignment vertical="top" wrapText="1"/>
      <protection/>
    </xf>
    <xf numFmtId="169" fontId="10" fillId="0" borderId="21" xfId="0" applyNumberFormat="1" applyFont="1" applyBorder="1" applyAlignment="1" applyProtection="1">
      <alignment horizontal="left" vertical="top" wrapText="1"/>
      <protection/>
    </xf>
    <xf numFmtId="0" fontId="10" fillId="60" borderId="0" xfId="0" applyFont="1" applyFill="1" applyBorder="1" applyAlignment="1" applyProtection="1">
      <alignment vertical="top" wrapText="1"/>
      <protection/>
    </xf>
    <xf numFmtId="0" fontId="0" fillId="60" borderId="0" xfId="0" applyFill="1" applyAlignment="1">
      <alignment vertical="top" wrapText="1"/>
    </xf>
    <xf numFmtId="0" fontId="2" fillId="60" borderId="0" xfId="0" applyFont="1" applyFill="1" applyBorder="1" applyAlignment="1" applyProtection="1">
      <alignment vertical="top" wrapText="1"/>
      <protection/>
    </xf>
    <xf numFmtId="0" fontId="10" fillId="61" borderId="43" xfId="0" applyFont="1" applyFill="1" applyBorder="1" applyAlignment="1" applyProtection="1">
      <alignment horizontal="center" vertical="top" wrapText="1"/>
      <protection/>
    </xf>
    <xf numFmtId="0" fontId="10" fillId="61" borderId="43" xfId="0" applyFont="1" applyFill="1" applyBorder="1" applyAlignment="1" applyProtection="1">
      <alignment horizontal="left" vertical="top" wrapText="1"/>
      <protection/>
    </xf>
    <xf numFmtId="0" fontId="10" fillId="61" borderId="43" xfId="0" applyFont="1" applyFill="1" applyBorder="1" applyAlignment="1" applyProtection="1">
      <alignment horizontal="right" vertical="top" wrapText="1"/>
      <protection/>
    </xf>
    <xf numFmtId="0" fontId="3" fillId="40" borderId="10" xfId="0" applyFont="1" applyFill="1" applyBorder="1" applyAlignment="1" applyProtection="1">
      <alignment horizontal="justify" vertical="center" wrapText="1"/>
      <protection/>
    </xf>
    <xf numFmtId="0" fontId="3" fillId="40" borderId="10" xfId="0" applyFont="1" applyFill="1" applyBorder="1" applyAlignment="1" applyProtection="1">
      <alignment horizontal="right" vertical="center" wrapText="1"/>
      <protection/>
    </xf>
    <xf numFmtId="169" fontId="10" fillId="40" borderId="14" xfId="0" applyNumberFormat="1" applyFont="1" applyFill="1" applyBorder="1" applyAlignment="1" applyProtection="1">
      <alignment horizontal="right" vertical="top" wrapText="1"/>
      <protection/>
    </xf>
    <xf numFmtId="1" fontId="6" fillId="62" borderId="46" xfId="0" applyNumberFormat="1" applyFont="1" applyFill="1" applyBorder="1" applyAlignment="1" applyProtection="1">
      <alignment horizontal="center"/>
      <protection/>
    </xf>
    <xf numFmtId="0" fontId="20" fillId="62" borderId="0" xfId="0" applyFont="1" applyFill="1" applyBorder="1" applyAlignment="1" applyProtection="1">
      <alignment/>
      <protection/>
    </xf>
    <xf numFmtId="0" fontId="20" fillId="62" borderId="47" xfId="0" applyFont="1" applyFill="1" applyBorder="1" applyAlignment="1" applyProtection="1">
      <alignment/>
      <protection/>
    </xf>
    <xf numFmtId="0" fontId="20" fillId="62" borderId="0" xfId="0" applyFont="1" applyFill="1" applyBorder="1" applyAlignment="1" applyProtection="1">
      <alignment vertical="top" wrapText="1"/>
      <protection/>
    </xf>
    <xf numFmtId="169" fontId="10" fillId="40" borderId="15" xfId="0" applyNumberFormat="1" applyFont="1" applyFill="1" applyBorder="1" applyAlignment="1" applyProtection="1">
      <alignment horizontal="center" vertical="top" wrapText="1"/>
      <protection/>
    </xf>
    <xf numFmtId="0" fontId="10" fillId="40" borderId="15" xfId="0" applyFont="1" applyFill="1" applyBorder="1" applyAlignment="1" applyProtection="1">
      <alignment horizontal="left" vertical="top" wrapText="1"/>
      <protection/>
    </xf>
    <xf numFmtId="0" fontId="10" fillId="40" borderId="15" xfId="0" applyFont="1" applyFill="1" applyBorder="1" applyAlignment="1" applyProtection="1">
      <alignment horizontal="right" vertical="top" wrapText="1"/>
      <protection/>
    </xf>
    <xf numFmtId="169" fontId="10" fillId="40" borderId="15" xfId="0" applyNumberFormat="1" applyFont="1" applyFill="1" applyBorder="1" applyAlignment="1" applyProtection="1">
      <alignment horizontal="right" vertical="top" wrapText="1"/>
      <protection/>
    </xf>
    <xf numFmtId="0" fontId="3" fillId="40" borderId="10" xfId="0" applyFont="1" applyFill="1" applyBorder="1" applyAlignment="1" applyProtection="1">
      <alignment horizontal="justify" vertical="center"/>
      <protection/>
    </xf>
    <xf numFmtId="0" fontId="3" fillId="63" borderId="10" xfId="0" applyFont="1" applyFill="1" applyBorder="1" applyAlignment="1" applyProtection="1">
      <alignment vertical="center" wrapText="1"/>
      <protection/>
    </xf>
    <xf numFmtId="0" fontId="3" fillId="63" borderId="10" xfId="0" applyFont="1" applyFill="1" applyBorder="1" applyAlignment="1" applyProtection="1">
      <alignment vertical="center" wrapText="1"/>
      <protection/>
    </xf>
    <xf numFmtId="0" fontId="3" fillId="63" borderId="10" xfId="0" applyFont="1" applyFill="1" applyBorder="1" applyAlignment="1" applyProtection="1">
      <alignment horizontal="center" vertical="center" wrapText="1"/>
      <protection/>
    </xf>
    <xf numFmtId="4" fontId="3" fillId="63" borderId="10" xfId="0" applyNumberFormat="1" applyFont="1" applyFill="1" applyBorder="1" applyAlignment="1" applyProtection="1">
      <alignment vertical="center" wrapText="1"/>
      <protection/>
    </xf>
    <xf numFmtId="166" fontId="3" fillId="63" borderId="10" xfId="45" applyFont="1" applyFill="1" applyBorder="1" applyAlignment="1" applyProtection="1">
      <alignment vertical="center" wrapText="1"/>
      <protection/>
    </xf>
    <xf numFmtId="0" fontId="3" fillId="61" borderId="10" xfId="0" applyFont="1" applyFill="1" applyBorder="1" applyAlignment="1" applyProtection="1">
      <alignment vertical="center" wrapText="1"/>
      <protection/>
    </xf>
    <xf numFmtId="0" fontId="3" fillId="61" borderId="10" xfId="0" applyFont="1" applyFill="1" applyBorder="1" applyAlignment="1" applyProtection="1">
      <alignment vertical="center" wrapText="1"/>
      <protection/>
    </xf>
    <xf numFmtId="0" fontId="3" fillId="61" borderId="10" xfId="0" applyFont="1" applyFill="1" applyBorder="1" applyAlignment="1" applyProtection="1">
      <alignment horizontal="center" vertical="center" wrapText="1"/>
      <protection/>
    </xf>
    <xf numFmtId="166" fontId="3" fillId="61" borderId="10" xfId="45" applyFont="1" applyFill="1" applyBorder="1" applyAlignment="1" applyProtection="1">
      <alignment vertical="center" wrapText="1"/>
      <protection/>
    </xf>
    <xf numFmtId="166" fontId="3" fillId="61" borderId="10" xfId="45" applyFont="1" applyFill="1" applyBorder="1" applyAlignment="1" applyProtection="1">
      <alignment vertical="center" wrapText="1"/>
      <protection/>
    </xf>
    <xf numFmtId="166" fontId="3" fillId="61" borderId="10" xfId="45" applyFont="1" applyFill="1" applyBorder="1" applyAlignment="1" applyProtection="1">
      <alignment horizontal="center" vertical="center" wrapText="1"/>
      <protection/>
    </xf>
    <xf numFmtId="0" fontId="3" fillId="61" borderId="22" xfId="0" applyFont="1" applyFill="1" applyBorder="1" applyAlignment="1" applyProtection="1">
      <alignment vertical="center" wrapText="1"/>
      <protection/>
    </xf>
    <xf numFmtId="0" fontId="3" fillId="64" borderId="22" xfId="0" applyFont="1" applyFill="1" applyBorder="1" applyAlignment="1" applyProtection="1">
      <alignment vertical="center" wrapText="1"/>
      <protection/>
    </xf>
    <xf numFmtId="0" fontId="3" fillId="64" borderId="10" xfId="0" applyFont="1" applyFill="1" applyBorder="1" applyAlignment="1" applyProtection="1">
      <alignment horizontal="center" vertical="center" wrapText="1"/>
      <protection/>
    </xf>
    <xf numFmtId="0" fontId="3" fillId="61" borderId="22" xfId="0" applyFont="1" applyFill="1" applyBorder="1" applyAlignment="1" applyProtection="1">
      <alignment vertical="center" wrapText="1"/>
      <protection/>
    </xf>
    <xf numFmtId="0" fontId="3" fillId="43" borderId="10" xfId="0" applyFont="1" applyFill="1" applyBorder="1" applyAlignment="1" applyProtection="1">
      <alignment horizontal="center" vertical="center" wrapText="1"/>
      <protection/>
    </xf>
    <xf numFmtId="0" fontId="3" fillId="43" borderId="10" xfId="0" applyFont="1" applyFill="1" applyBorder="1" applyAlignment="1" applyProtection="1">
      <alignment vertical="center" wrapText="1"/>
      <protection/>
    </xf>
    <xf numFmtId="0" fontId="3" fillId="42" borderId="10" xfId="0" applyFont="1" applyFill="1" applyBorder="1" applyAlignment="1" applyProtection="1">
      <alignment vertical="center" wrapText="1"/>
      <protection/>
    </xf>
    <xf numFmtId="0" fontId="3" fillId="65" borderId="22" xfId="0" applyFont="1" applyFill="1" applyBorder="1" applyAlignment="1" applyProtection="1">
      <alignment vertical="center" wrapText="1"/>
      <protection/>
    </xf>
    <xf numFmtId="0" fontId="3" fillId="65" borderId="10" xfId="0" applyFont="1" applyFill="1" applyBorder="1" applyAlignment="1" applyProtection="1">
      <alignment horizontal="center" vertical="center" wrapText="1"/>
      <protection/>
    </xf>
    <xf numFmtId="0" fontId="3" fillId="65" borderId="10" xfId="0" applyFont="1" applyFill="1" applyBorder="1" applyAlignment="1" applyProtection="1">
      <alignment vertical="center" wrapText="1"/>
      <protection/>
    </xf>
    <xf numFmtId="166" fontId="3" fillId="65" borderId="10" xfId="45" applyFont="1" applyFill="1" applyBorder="1" applyAlignment="1" applyProtection="1">
      <alignment vertical="center" wrapText="1"/>
      <protection/>
    </xf>
    <xf numFmtId="0" fontId="3" fillId="61" borderId="39" xfId="0" applyFont="1" applyFill="1" applyBorder="1" applyAlignment="1" applyProtection="1">
      <alignment horizontal="center" vertical="center" wrapText="1"/>
      <protection/>
    </xf>
    <xf numFmtId="0" fontId="3" fillId="61" borderId="39" xfId="0" applyFont="1" applyFill="1" applyBorder="1" applyAlignment="1" applyProtection="1">
      <alignment vertical="center" wrapText="1"/>
      <protection/>
    </xf>
    <xf numFmtId="166" fontId="3" fillId="61" borderId="39" xfId="45" applyFont="1" applyFill="1" applyBorder="1" applyAlignment="1" applyProtection="1">
      <alignment vertical="center" wrapText="1"/>
      <protection/>
    </xf>
    <xf numFmtId="0" fontId="3" fillId="66" borderId="10" xfId="0" applyFont="1" applyFill="1" applyBorder="1" applyAlignment="1" applyProtection="1">
      <alignment vertical="center" wrapText="1"/>
      <protection/>
    </xf>
    <xf numFmtId="0" fontId="3" fillId="66" borderId="22" xfId="0" applyFont="1" applyFill="1" applyBorder="1" applyAlignment="1" applyProtection="1">
      <alignment vertical="center" wrapText="1"/>
      <protection/>
    </xf>
    <xf numFmtId="0" fontId="3" fillId="66" borderId="10" xfId="0" applyFont="1" applyFill="1" applyBorder="1" applyAlignment="1" applyProtection="1">
      <alignment horizontal="center" vertical="center" wrapText="1"/>
      <protection/>
    </xf>
    <xf numFmtId="166" fontId="3" fillId="66" borderId="10" xfId="45" applyFont="1" applyFill="1" applyBorder="1" applyAlignment="1" applyProtection="1">
      <alignment vertical="center" wrapText="1"/>
      <protection/>
    </xf>
    <xf numFmtId="0" fontId="3" fillId="66" borderId="22" xfId="0" applyFont="1" applyFill="1" applyBorder="1" applyAlignment="1" applyProtection="1">
      <alignment vertical="center" wrapText="1"/>
      <protection/>
    </xf>
    <xf numFmtId="0" fontId="3" fillId="66" borderId="10" xfId="0" applyFont="1" applyFill="1" applyBorder="1" applyAlignment="1" applyProtection="1">
      <alignment vertical="center" wrapText="1"/>
      <protection/>
    </xf>
    <xf numFmtId="0" fontId="3" fillId="66" borderId="10" xfId="0" applyFont="1" applyFill="1" applyBorder="1" applyAlignment="1" applyProtection="1">
      <alignment horizontal="center" vertical="center" wrapText="1"/>
      <protection/>
    </xf>
    <xf numFmtId="0" fontId="3" fillId="67" borderId="22" xfId="0" applyFont="1" applyFill="1" applyBorder="1" applyAlignment="1" applyProtection="1">
      <alignment vertical="center" wrapText="1"/>
      <protection/>
    </xf>
    <xf numFmtId="0" fontId="3" fillId="67" borderId="10" xfId="0" applyFont="1" applyFill="1" applyBorder="1" applyAlignment="1" applyProtection="1">
      <alignment horizontal="center" vertical="center" wrapText="1"/>
      <protection/>
    </xf>
    <xf numFmtId="166" fontId="3" fillId="67" borderId="10" xfId="45" applyFont="1" applyFill="1" applyBorder="1" applyAlignment="1" applyProtection="1">
      <alignment vertical="center" wrapText="1"/>
      <protection/>
    </xf>
    <xf numFmtId="0" fontId="3" fillId="67" borderId="10" xfId="0" applyFont="1" applyFill="1" applyBorder="1" applyAlignment="1" applyProtection="1">
      <alignment vertical="center" wrapText="1"/>
      <protection/>
    </xf>
    <xf numFmtId="0" fontId="3" fillId="67" borderId="22" xfId="0" applyFont="1" applyFill="1" applyBorder="1" applyAlignment="1" applyProtection="1">
      <alignment vertical="center" wrapText="1"/>
      <protection/>
    </xf>
    <xf numFmtId="0" fontId="3" fillId="67" borderId="10" xfId="0" applyFont="1" applyFill="1" applyBorder="1" applyAlignment="1" applyProtection="1">
      <alignment vertical="center" wrapText="1"/>
      <protection/>
    </xf>
    <xf numFmtId="0" fontId="65" fillId="61" borderId="10" xfId="0" applyFont="1" applyFill="1" applyBorder="1" applyAlignment="1" applyProtection="1">
      <alignment vertical="top" wrapText="1"/>
      <protection/>
    </xf>
    <xf numFmtId="0" fontId="65" fillId="61" borderId="22" xfId="0" applyFont="1" applyFill="1" applyBorder="1" applyAlignment="1" applyProtection="1">
      <alignment vertical="top" wrapText="1"/>
      <protection/>
    </xf>
    <xf numFmtId="0" fontId="3" fillId="41" borderId="10" xfId="0" applyFont="1" applyFill="1" applyBorder="1" applyAlignment="1" applyProtection="1">
      <alignment vertical="center" wrapText="1"/>
      <protection/>
    </xf>
    <xf numFmtId="0" fontId="3" fillId="41" borderId="22" xfId="0" applyFont="1" applyFill="1" applyBorder="1" applyAlignment="1" applyProtection="1">
      <alignment vertical="center" wrapText="1"/>
      <protection/>
    </xf>
    <xf numFmtId="0" fontId="3" fillId="41" borderId="10" xfId="0" applyFont="1" applyFill="1" applyBorder="1" applyAlignment="1" applyProtection="1">
      <alignment horizontal="center" vertical="center" wrapText="1"/>
      <protection/>
    </xf>
    <xf numFmtId="166" fontId="3" fillId="41" borderId="10" xfId="45" applyFont="1" applyFill="1" applyBorder="1" applyAlignment="1" applyProtection="1">
      <alignment vertical="center" wrapText="1"/>
      <protection/>
    </xf>
    <xf numFmtId="0" fontId="3" fillId="43" borderId="22" xfId="0" applyFont="1" applyFill="1" applyBorder="1" applyAlignment="1" applyProtection="1">
      <alignment vertical="center" wrapText="1"/>
      <protection/>
    </xf>
    <xf numFmtId="166" fontId="3" fillId="43" borderId="10" xfId="45" applyFont="1" applyFill="1" applyBorder="1" applyAlignment="1" applyProtection="1">
      <alignment vertical="center" wrapText="1"/>
      <protection/>
    </xf>
    <xf numFmtId="0" fontId="3" fillId="42" borderId="22" xfId="0" applyFont="1" applyFill="1" applyBorder="1" applyAlignment="1" applyProtection="1">
      <alignment vertical="center" wrapText="1"/>
      <protection/>
    </xf>
    <xf numFmtId="0" fontId="3" fillId="42" borderId="10" xfId="0" applyFont="1" applyFill="1" applyBorder="1" applyAlignment="1" applyProtection="1">
      <alignment horizontal="center" vertical="center" wrapText="1"/>
      <protection/>
    </xf>
    <xf numFmtId="0" fontId="3" fillId="42" borderId="39" xfId="0" applyFont="1" applyFill="1" applyBorder="1" applyAlignment="1" applyProtection="1">
      <alignment horizontal="center" vertical="center" wrapText="1"/>
      <protection/>
    </xf>
    <xf numFmtId="0" fontId="3" fillId="42" borderId="39" xfId="0" applyFont="1" applyFill="1" applyBorder="1" applyAlignment="1" applyProtection="1">
      <alignment vertical="center" wrapText="1"/>
      <protection/>
    </xf>
    <xf numFmtId="0" fontId="3" fillId="43" borderId="39" xfId="0" applyFont="1" applyFill="1" applyBorder="1" applyAlignment="1" applyProtection="1">
      <alignment horizontal="center" vertical="center" wrapText="1"/>
      <protection/>
    </xf>
    <xf numFmtId="0" fontId="3" fillId="43" borderId="39" xfId="0" applyFont="1" applyFill="1" applyBorder="1" applyAlignment="1" applyProtection="1">
      <alignment vertical="center" wrapText="1"/>
      <protection/>
    </xf>
    <xf numFmtId="166" fontId="3" fillId="43" borderId="39" xfId="45" applyFont="1" applyFill="1" applyBorder="1" applyAlignment="1" applyProtection="1">
      <alignment vertical="center" wrapText="1"/>
      <protection/>
    </xf>
    <xf numFmtId="0" fontId="3" fillId="61" borderId="39" xfId="0" applyFont="1" applyFill="1" applyBorder="1" applyAlignment="1" applyProtection="1">
      <alignment horizontal="center" vertical="center" wrapText="1"/>
      <protection/>
    </xf>
    <xf numFmtId="0" fontId="3" fillId="63" borderId="39" xfId="0" applyFont="1" applyFill="1" applyBorder="1" applyAlignment="1" applyProtection="1">
      <alignment horizontal="center" vertical="center" wrapText="1"/>
      <protection/>
    </xf>
    <xf numFmtId="0" fontId="3" fillId="63" borderId="10" xfId="0" applyFont="1" applyFill="1" applyBorder="1" applyAlignment="1" applyProtection="1">
      <alignment vertical="top" wrapText="1"/>
      <protection/>
    </xf>
    <xf numFmtId="0" fontId="3" fillId="63" borderId="10" xfId="0" applyFont="1" applyFill="1" applyBorder="1" applyAlignment="1" applyProtection="1">
      <alignment horizontal="center" vertical="top" wrapText="1"/>
      <protection/>
    </xf>
    <xf numFmtId="2" fontId="3" fillId="63" borderId="10" xfId="0" applyNumberFormat="1" applyFont="1" applyFill="1" applyBorder="1" applyAlignment="1" applyProtection="1">
      <alignment vertical="top" wrapText="1"/>
      <protection/>
    </xf>
    <xf numFmtId="0" fontId="3" fillId="67" borderId="10" xfId="0" applyFont="1" applyFill="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6" fillId="39" borderId="19" xfId="0" applyFont="1" applyFill="1" applyBorder="1" applyAlignment="1" applyProtection="1">
      <alignment horizontal="center" vertical="top" wrapText="1"/>
      <protection/>
    </xf>
    <xf numFmtId="1" fontId="6" fillId="68" borderId="46" xfId="0" applyNumberFormat="1" applyFont="1" applyFill="1" applyBorder="1" applyAlignment="1" applyProtection="1">
      <alignment horizontal="center"/>
      <protection/>
    </xf>
    <xf numFmtId="0" fontId="20" fillId="68" borderId="0" xfId="0" applyFont="1" applyFill="1" applyBorder="1" applyAlignment="1" applyProtection="1">
      <alignment/>
      <protection/>
    </xf>
    <xf numFmtId="0" fontId="20" fillId="68" borderId="47" xfId="0" applyFont="1" applyFill="1" applyBorder="1" applyAlignment="1" applyProtection="1">
      <alignment/>
      <protection/>
    </xf>
    <xf numFmtId="0" fontId="20" fillId="68" borderId="0" xfId="0" applyFont="1" applyFill="1" applyBorder="1" applyAlignment="1" applyProtection="1">
      <alignment vertical="top" wrapText="1"/>
      <protection/>
    </xf>
    <xf numFmtId="0" fontId="3" fillId="0" borderId="32" xfId="0" applyFont="1" applyBorder="1" applyAlignment="1" applyProtection="1">
      <alignment vertical="center" wrapText="1"/>
      <protection/>
    </xf>
    <xf numFmtId="166" fontId="6" fillId="39" borderId="64" xfId="45" applyFont="1" applyFill="1" applyBorder="1" applyAlignment="1" applyProtection="1">
      <alignment vertical="center" wrapText="1"/>
      <protection/>
    </xf>
    <xf numFmtId="166" fontId="3" fillId="65" borderId="32" xfId="45" applyFont="1" applyFill="1" applyBorder="1" applyAlignment="1" applyProtection="1">
      <alignment vertical="center" wrapText="1"/>
      <protection/>
    </xf>
    <xf numFmtId="166" fontId="6" fillId="33" borderId="20" xfId="45" applyFont="1" applyFill="1" applyBorder="1" applyAlignment="1" applyProtection="1">
      <alignment vertical="center" wrapText="1"/>
      <protection/>
    </xf>
    <xf numFmtId="166" fontId="6" fillId="39" borderId="32" xfId="45" applyFont="1" applyFill="1" applyBorder="1" applyAlignment="1" applyProtection="1">
      <alignment vertical="center" wrapText="1"/>
      <protection/>
    </xf>
    <xf numFmtId="166" fontId="3" fillId="61" borderId="32" xfId="45" applyFont="1" applyFill="1" applyBorder="1" applyAlignment="1" applyProtection="1">
      <alignment vertical="center" wrapText="1"/>
      <protection/>
    </xf>
    <xf numFmtId="166" fontId="3" fillId="64" borderId="32" xfId="45" applyFont="1" applyFill="1" applyBorder="1" applyAlignment="1" applyProtection="1">
      <alignment vertical="center" wrapText="1"/>
      <protection/>
    </xf>
    <xf numFmtId="166" fontId="3" fillId="63" borderId="32" xfId="45" applyFont="1" applyFill="1" applyBorder="1" applyAlignment="1" applyProtection="1">
      <alignment vertical="center" wrapText="1"/>
      <protection/>
    </xf>
    <xf numFmtId="166" fontId="3" fillId="61" borderId="65" xfId="45" applyFont="1" applyFill="1" applyBorder="1" applyAlignment="1" applyProtection="1">
      <alignment vertical="center" wrapText="1"/>
      <protection/>
    </xf>
    <xf numFmtId="166" fontId="6" fillId="39" borderId="66" xfId="45" applyFont="1" applyFill="1" applyBorder="1" applyAlignment="1" applyProtection="1">
      <alignment vertical="center" wrapText="1"/>
      <protection/>
    </xf>
    <xf numFmtId="166" fontId="3" fillId="66" borderId="32" xfId="45" applyFont="1" applyFill="1" applyBorder="1" applyAlignment="1" applyProtection="1">
      <alignment vertical="center" wrapText="1"/>
      <protection/>
    </xf>
    <xf numFmtId="166" fontId="3" fillId="67" borderId="32" xfId="45" applyFont="1" applyFill="1" applyBorder="1" applyAlignment="1" applyProtection="1">
      <alignment vertical="center" wrapText="1"/>
      <protection/>
    </xf>
    <xf numFmtId="166" fontId="3" fillId="41" borderId="32" xfId="45" applyFont="1" applyFill="1" applyBorder="1" applyAlignment="1" applyProtection="1">
      <alignment vertical="center" wrapText="1"/>
      <protection/>
    </xf>
    <xf numFmtId="166" fontId="3" fillId="43" borderId="32" xfId="45" applyFont="1" applyFill="1" applyBorder="1" applyAlignment="1" applyProtection="1">
      <alignment vertical="center" wrapText="1"/>
      <protection/>
    </xf>
    <xf numFmtId="166" fontId="6" fillId="39" borderId="32" xfId="0" applyNumberFormat="1" applyFont="1" applyFill="1" applyBorder="1" applyAlignment="1" applyProtection="1">
      <alignment vertical="center" wrapText="1"/>
      <protection/>
    </xf>
    <xf numFmtId="166" fontId="3" fillId="42" borderId="32" xfId="45" applyFont="1" applyFill="1" applyBorder="1" applyAlignment="1" applyProtection="1">
      <alignment vertical="center" wrapText="1"/>
      <protection/>
    </xf>
    <xf numFmtId="166" fontId="3" fillId="42" borderId="65" xfId="45" applyFont="1" applyFill="1" applyBorder="1" applyAlignment="1" applyProtection="1">
      <alignment vertical="center" wrapText="1"/>
      <protection/>
    </xf>
    <xf numFmtId="0" fontId="3" fillId="0" borderId="3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29" xfId="0" applyFont="1" applyBorder="1" applyAlignment="1" applyProtection="1">
      <alignment horizontal="justify" vertical="center" wrapText="1"/>
      <protection/>
    </xf>
    <xf numFmtId="166" fontId="3" fillId="0" borderId="32" xfId="45" applyFont="1" applyBorder="1" applyAlignment="1" applyProtection="1">
      <alignment horizontal="center" vertical="center" wrapText="1"/>
      <protection/>
    </xf>
    <xf numFmtId="0" fontId="3" fillId="0" borderId="32" xfId="0" applyFont="1" applyBorder="1" applyAlignment="1" applyProtection="1">
      <alignment horizontal="right" vertical="center" wrapText="1"/>
      <protection/>
    </xf>
    <xf numFmtId="0" fontId="3" fillId="69" borderId="29" xfId="0" applyFont="1" applyFill="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 fontId="3" fillId="0" borderId="32" xfId="0" applyNumberFormat="1" applyFont="1" applyBorder="1" applyAlignment="1" applyProtection="1">
      <alignment horizontal="center" vertical="center" wrapText="1"/>
      <protection/>
    </xf>
    <xf numFmtId="0" fontId="3" fillId="70" borderId="29" xfId="0" applyFont="1" applyFill="1" applyBorder="1" applyAlignment="1" applyProtection="1">
      <alignment horizontal="center" vertical="center" wrapText="1"/>
      <protection/>
    </xf>
    <xf numFmtId="2" fontId="3" fillId="70" borderId="32" xfId="0" applyNumberFormat="1" applyFont="1" applyFill="1" applyBorder="1" applyAlignment="1" applyProtection="1">
      <alignment horizontal="center" vertical="center" wrapText="1"/>
      <protection/>
    </xf>
    <xf numFmtId="0" fontId="5" fillId="0" borderId="32" xfId="0" applyFont="1" applyBorder="1" applyAlignment="1" applyProtection="1">
      <alignment horizontal="center" vertical="top"/>
      <protection/>
    </xf>
    <xf numFmtId="0" fontId="18" fillId="0" borderId="29" xfId="0" applyFont="1" applyBorder="1" applyAlignment="1" applyProtection="1">
      <alignment horizontal="justify" vertical="center" wrapText="1"/>
      <protection/>
    </xf>
    <xf numFmtId="0" fontId="8" fillId="0" borderId="32" xfId="0" applyFont="1" applyBorder="1" applyAlignment="1" applyProtection="1">
      <alignment horizontal="right" vertical="top"/>
      <protection/>
    </xf>
    <xf numFmtId="0" fontId="8" fillId="0" borderId="32" xfId="0" applyFont="1" applyBorder="1" applyAlignment="1" applyProtection="1">
      <alignment horizontal="center" vertical="top"/>
      <protection/>
    </xf>
    <xf numFmtId="0" fontId="3" fillId="0" borderId="27" xfId="0" applyFont="1" applyBorder="1" applyAlignment="1" applyProtection="1">
      <alignment horizontal="justify" vertical="center" wrapText="1"/>
      <protection/>
    </xf>
    <xf numFmtId="0" fontId="8" fillId="0" borderId="28" xfId="0" applyFont="1" applyBorder="1" applyAlignment="1" applyProtection="1">
      <alignment horizontal="center" vertical="top"/>
      <protection/>
    </xf>
    <xf numFmtId="0" fontId="3" fillId="64" borderId="10" xfId="0" applyFont="1" applyFill="1" applyBorder="1" applyAlignment="1" applyProtection="1">
      <alignment vertical="center" wrapText="1"/>
      <protection/>
    </xf>
    <xf numFmtId="0" fontId="3" fillId="41" borderId="22" xfId="0" applyFont="1" applyFill="1" applyBorder="1" applyAlignment="1" applyProtection="1">
      <alignment vertical="center" wrapText="1"/>
      <protection/>
    </xf>
    <xf numFmtId="0" fontId="3" fillId="43" borderId="22" xfId="0" applyFont="1" applyFill="1" applyBorder="1" applyAlignment="1" applyProtection="1">
      <alignment vertical="center" wrapText="1"/>
      <protection/>
    </xf>
    <xf numFmtId="0" fontId="3" fillId="42" borderId="10" xfId="0" applyFont="1" applyFill="1" applyBorder="1" applyAlignment="1" applyProtection="1">
      <alignment vertical="center" wrapText="1"/>
      <protection/>
    </xf>
    <xf numFmtId="0" fontId="4" fillId="0" borderId="67" xfId="0" applyFont="1" applyBorder="1" applyAlignment="1" applyProtection="1">
      <alignment horizontal="center"/>
      <protection/>
    </xf>
    <xf numFmtId="0" fontId="10" fillId="39" borderId="19" xfId="0" applyFont="1" applyFill="1" applyBorder="1" applyAlignment="1" applyProtection="1">
      <alignment vertical="top" wrapText="1"/>
      <protection/>
    </xf>
    <xf numFmtId="0" fontId="10" fillId="48" borderId="19" xfId="0" applyFont="1" applyFill="1" applyBorder="1" applyAlignment="1" applyProtection="1">
      <alignment vertical="top" wrapText="1"/>
      <protection/>
    </xf>
    <xf numFmtId="0" fontId="10" fillId="48" borderId="19" xfId="0" applyFont="1" applyFill="1" applyBorder="1" applyAlignment="1" applyProtection="1">
      <alignment vertical="top"/>
      <protection/>
    </xf>
    <xf numFmtId="0" fontId="10" fillId="0" borderId="68" xfId="0" applyFont="1" applyBorder="1" applyAlignment="1" applyProtection="1">
      <alignment vertical="top" wrapText="1"/>
      <protection/>
    </xf>
    <xf numFmtId="0" fontId="10" fillId="0" borderId="69" xfId="0" applyFont="1" applyBorder="1" applyAlignment="1" applyProtection="1">
      <alignment vertical="top" wrapText="1"/>
      <protection/>
    </xf>
    <xf numFmtId="0" fontId="10" fillId="0" borderId="70" xfId="0" applyFont="1" applyBorder="1" applyAlignment="1" applyProtection="1">
      <alignment vertical="top" wrapText="1"/>
      <protection/>
    </xf>
    <xf numFmtId="0" fontId="10" fillId="47" borderId="19" xfId="0" applyFont="1" applyFill="1" applyBorder="1" applyAlignment="1" applyProtection="1">
      <alignment vertical="top" wrapText="1"/>
      <protection/>
    </xf>
    <xf numFmtId="0" fontId="10" fillId="44" borderId="19" xfId="0" applyFont="1" applyFill="1" applyBorder="1" applyAlignment="1" applyProtection="1">
      <alignment vertical="top" wrapText="1"/>
      <protection/>
    </xf>
    <xf numFmtId="0" fontId="10" fillId="46" borderId="19" xfId="0" applyFont="1" applyFill="1" applyBorder="1" applyAlignment="1" applyProtection="1">
      <alignment vertical="top" wrapText="1"/>
      <protection/>
    </xf>
    <xf numFmtId="0" fontId="10" fillId="42" borderId="19" xfId="0" applyFont="1" applyFill="1" applyBorder="1" applyAlignment="1" applyProtection="1">
      <alignment vertical="top" wrapText="1"/>
      <protection/>
    </xf>
    <xf numFmtId="0" fontId="10" fillId="42" borderId="20" xfId="0" applyFont="1" applyFill="1" applyBorder="1" applyAlignment="1" applyProtection="1">
      <alignment vertical="top" wrapText="1"/>
      <protection/>
    </xf>
    <xf numFmtId="0" fontId="10" fillId="45" borderId="19" xfId="0" applyFont="1" applyFill="1" applyBorder="1" applyAlignment="1" applyProtection="1">
      <alignment vertical="top" wrapText="1"/>
      <protection/>
    </xf>
    <xf numFmtId="0" fontId="3" fillId="45" borderId="19" xfId="0" applyFont="1" applyFill="1" applyBorder="1" applyAlignment="1" applyProtection="1">
      <alignment vertical="top" wrapText="1"/>
      <protection/>
    </xf>
    <xf numFmtId="0" fontId="3" fillId="35" borderId="19" xfId="0" applyFont="1" applyFill="1" applyBorder="1" applyAlignment="1" applyProtection="1">
      <alignment vertical="center" wrapText="1"/>
      <protection/>
    </xf>
    <xf numFmtId="0" fontId="3" fillId="50" borderId="19" xfId="0" applyFont="1" applyFill="1" applyBorder="1" applyAlignment="1" applyProtection="1">
      <alignment vertical="top" wrapText="1"/>
      <protection/>
    </xf>
    <xf numFmtId="0" fontId="10" fillId="51" borderId="19" xfId="0" applyFont="1" applyFill="1" applyBorder="1" applyAlignment="1" applyProtection="1">
      <alignment vertical="top" wrapText="1"/>
      <protection/>
    </xf>
    <xf numFmtId="0" fontId="10" fillId="40" borderId="68" xfId="0" applyFont="1" applyFill="1" applyBorder="1" applyAlignment="1" applyProtection="1">
      <alignment vertical="top" wrapText="1"/>
      <protection/>
    </xf>
    <xf numFmtId="0" fontId="10" fillId="40" borderId="70" xfId="0" applyFont="1" applyFill="1" applyBorder="1" applyAlignment="1" applyProtection="1">
      <alignment vertical="top" wrapText="1"/>
      <protection/>
    </xf>
    <xf numFmtId="0" fontId="10" fillId="68" borderId="19" xfId="0" applyFont="1" applyFill="1" applyBorder="1" applyAlignment="1" applyProtection="1">
      <alignment vertical="top" wrapText="1"/>
      <protection/>
    </xf>
    <xf numFmtId="0" fontId="6" fillId="45" borderId="19" xfId="0" applyFont="1" applyFill="1" applyBorder="1" applyAlignment="1" applyProtection="1">
      <alignment vertical="top" wrapText="1"/>
      <protection/>
    </xf>
    <xf numFmtId="0" fontId="10" fillId="0" borderId="25" xfId="0" applyFont="1" applyBorder="1" applyAlignment="1" applyProtection="1">
      <alignment vertical="top" wrapText="1"/>
      <protection/>
    </xf>
    <xf numFmtId="0" fontId="9" fillId="39" borderId="68" xfId="0" applyFont="1" applyFill="1" applyBorder="1" applyAlignment="1" applyProtection="1">
      <alignment vertical="center"/>
      <protection/>
    </xf>
    <xf numFmtId="0" fontId="9" fillId="39" borderId="69" xfId="0" applyFont="1" applyFill="1" applyBorder="1" applyAlignment="1" applyProtection="1">
      <alignment vertical="center"/>
      <protection/>
    </xf>
    <xf numFmtId="0" fontId="10" fillId="0" borderId="0" xfId="0" applyFont="1" applyBorder="1" applyAlignment="1" applyProtection="1">
      <alignment vertical="top"/>
      <protection/>
    </xf>
    <xf numFmtId="2" fontId="2" fillId="0" borderId="0" xfId="0" applyNumberFormat="1" applyFont="1" applyBorder="1" applyAlignment="1" applyProtection="1">
      <alignment horizontal="center" vertical="top" wrapText="1"/>
      <protection/>
    </xf>
    <xf numFmtId="2" fontId="9" fillId="39" borderId="68" xfId="0" applyNumberFormat="1" applyFont="1" applyFill="1" applyBorder="1" applyAlignment="1" applyProtection="1">
      <alignment vertical="center"/>
      <protection/>
    </xf>
    <xf numFmtId="2" fontId="10" fillId="0" borderId="19" xfId="0" applyNumberFormat="1" applyFont="1" applyBorder="1" applyAlignment="1" applyProtection="1">
      <alignment vertical="top" wrapText="1"/>
      <protection/>
    </xf>
    <xf numFmtId="2" fontId="10" fillId="48" borderId="21" xfId="0" applyNumberFormat="1" applyFont="1" applyFill="1" applyBorder="1" applyAlignment="1" applyProtection="1">
      <alignment horizontal="right" vertical="top" wrapText="1"/>
      <protection/>
    </xf>
    <xf numFmtId="2" fontId="10" fillId="0" borderId="69" xfId="0" applyNumberFormat="1" applyFont="1" applyBorder="1" applyAlignment="1" applyProtection="1">
      <alignment vertical="top" wrapText="1"/>
      <protection/>
    </xf>
    <xf numFmtId="2" fontId="10" fillId="39" borderId="19" xfId="0" applyNumberFormat="1" applyFont="1" applyFill="1" applyBorder="1" applyAlignment="1" applyProtection="1">
      <alignment vertical="top" wrapText="1"/>
      <protection/>
    </xf>
    <xf numFmtId="2" fontId="10" fillId="48" borderId="43" xfId="0" applyNumberFormat="1" applyFont="1" applyFill="1" applyBorder="1" applyAlignment="1" applyProtection="1">
      <alignment horizontal="right" vertical="top" wrapText="1"/>
      <protection/>
    </xf>
    <xf numFmtId="2" fontId="10" fillId="0" borderId="70" xfId="0" applyNumberFormat="1" applyFont="1" applyBorder="1" applyAlignment="1" applyProtection="1">
      <alignment vertical="top" wrapText="1"/>
      <protection/>
    </xf>
    <xf numFmtId="2" fontId="10" fillId="48" borderId="42" xfId="0" applyNumberFormat="1" applyFont="1" applyFill="1" applyBorder="1" applyAlignment="1" applyProtection="1">
      <alignment horizontal="right" vertical="top" wrapText="1"/>
      <protection/>
    </xf>
    <xf numFmtId="2" fontId="10" fillId="0" borderId="10" xfId="0" applyNumberFormat="1" applyFont="1" applyBorder="1" applyAlignment="1" applyProtection="1">
      <alignment horizontal="right" vertical="top" wrapText="1"/>
      <protection/>
    </xf>
    <xf numFmtId="2" fontId="10" fillId="0" borderId="20" xfId="0" applyNumberFormat="1" applyFont="1" applyBorder="1" applyAlignment="1" applyProtection="1">
      <alignment vertical="top" wrapText="1"/>
      <protection/>
    </xf>
    <xf numFmtId="2" fontId="10" fillId="47" borderId="43" xfId="0" applyNumberFormat="1" applyFont="1" applyFill="1" applyBorder="1" applyAlignment="1" applyProtection="1">
      <alignment horizontal="right" vertical="top" wrapText="1"/>
      <protection/>
    </xf>
    <xf numFmtId="2" fontId="10" fillId="44" borderId="43" xfId="0" applyNumberFormat="1" applyFont="1" applyFill="1" applyBorder="1" applyAlignment="1" applyProtection="1">
      <alignment horizontal="right" vertical="top" wrapText="1"/>
      <protection/>
    </xf>
    <xf numFmtId="2" fontId="10" fillId="44" borderId="42" xfId="0" applyNumberFormat="1" applyFont="1" applyFill="1" applyBorder="1" applyAlignment="1" applyProtection="1">
      <alignment horizontal="right" vertical="top" wrapText="1"/>
      <protection/>
    </xf>
    <xf numFmtId="2" fontId="10" fillId="0" borderId="15" xfId="0" applyNumberFormat="1" applyFont="1" applyBorder="1" applyAlignment="1" applyProtection="1">
      <alignment horizontal="right" vertical="top" wrapText="1"/>
      <protection/>
    </xf>
    <xf numFmtId="2" fontId="10" fillId="46" borderId="42" xfId="0" applyNumberFormat="1" applyFont="1" applyFill="1" applyBorder="1" applyAlignment="1" applyProtection="1">
      <alignment horizontal="right" vertical="top" wrapText="1"/>
      <protection/>
    </xf>
    <xf numFmtId="2" fontId="10" fillId="42" borderId="10" xfId="0" applyNumberFormat="1" applyFont="1" applyFill="1" applyBorder="1" applyAlignment="1" applyProtection="1">
      <alignment horizontal="right" vertical="top" wrapText="1"/>
      <protection/>
    </xf>
    <xf numFmtId="2" fontId="10" fillId="42" borderId="20" xfId="0" applyNumberFormat="1" applyFont="1" applyFill="1" applyBorder="1" applyAlignment="1" applyProtection="1">
      <alignment vertical="top" wrapText="1"/>
      <protection/>
    </xf>
    <xf numFmtId="2" fontId="10" fillId="45" borderId="42" xfId="0" applyNumberFormat="1" applyFont="1" applyFill="1" applyBorder="1" applyAlignment="1" applyProtection="1">
      <alignment horizontal="right" vertical="top" wrapText="1"/>
      <protection/>
    </xf>
    <xf numFmtId="2" fontId="2" fillId="0" borderId="0" xfId="0" applyNumberFormat="1" applyFont="1" applyBorder="1" applyAlignment="1" applyProtection="1">
      <alignment horizontal="right" vertical="top" wrapText="1"/>
      <protection/>
    </xf>
    <xf numFmtId="2" fontId="3" fillId="35" borderId="19" xfId="0" applyNumberFormat="1" applyFont="1" applyFill="1" applyBorder="1" applyAlignment="1" applyProtection="1">
      <alignment vertical="center" wrapText="1"/>
      <protection/>
    </xf>
    <xf numFmtId="2" fontId="10" fillId="50" borderId="42" xfId="0" applyNumberFormat="1" applyFont="1" applyFill="1" applyBorder="1" applyAlignment="1" applyProtection="1">
      <alignment horizontal="right" vertical="top" wrapText="1"/>
      <protection/>
    </xf>
    <xf numFmtId="2" fontId="10" fillId="51" borderId="19" xfId="0" applyNumberFormat="1" applyFont="1" applyFill="1" applyBorder="1" applyAlignment="1" applyProtection="1">
      <alignment vertical="top" wrapText="1"/>
      <protection/>
    </xf>
    <xf numFmtId="2" fontId="10" fillId="61" borderId="43" xfId="0" applyNumberFormat="1" applyFont="1" applyFill="1" applyBorder="1" applyAlignment="1" applyProtection="1">
      <alignment horizontal="right" vertical="top" wrapText="1"/>
      <protection/>
    </xf>
    <xf numFmtId="2" fontId="3" fillId="40" borderId="10" xfId="0" applyNumberFormat="1" applyFont="1" applyFill="1" applyBorder="1" applyAlignment="1" applyProtection="1">
      <alignment horizontal="right" vertical="center" wrapText="1"/>
      <protection/>
    </xf>
    <xf numFmtId="2" fontId="10" fillId="40" borderId="70" xfId="0" applyNumberFormat="1" applyFont="1" applyFill="1" applyBorder="1" applyAlignment="1" applyProtection="1">
      <alignment vertical="top" wrapText="1"/>
      <protection/>
    </xf>
    <xf numFmtId="2" fontId="10" fillId="68" borderId="19" xfId="0" applyNumberFormat="1" applyFont="1" applyFill="1" applyBorder="1" applyAlignment="1" applyProtection="1">
      <alignment vertical="top" wrapText="1"/>
      <protection/>
    </xf>
    <xf numFmtId="2" fontId="10" fillId="45" borderId="43" xfId="0" applyNumberFormat="1" applyFont="1" applyFill="1" applyBorder="1" applyAlignment="1" applyProtection="1">
      <alignment horizontal="right" vertical="top" wrapText="1"/>
      <protection/>
    </xf>
    <xf numFmtId="2" fontId="3" fillId="0" borderId="10" xfId="0" applyNumberFormat="1" applyFont="1" applyBorder="1" applyAlignment="1" applyProtection="1">
      <alignment horizontal="right" vertical="center" wrapText="1"/>
      <protection/>
    </xf>
    <xf numFmtId="2" fontId="6" fillId="0" borderId="10" xfId="0" applyNumberFormat="1" applyFont="1" applyBorder="1" applyAlignment="1" applyProtection="1">
      <alignment horizontal="right" vertical="center" wrapText="1"/>
      <protection/>
    </xf>
    <xf numFmtId="2" fontId="10" fillId="0" borderId="21" xfId="0" applyNumberFormat="1" applyFont="1" applyBorder="1" applyAlignment="1" applyProtection="1">
      <alignment horizontal="right" vertical="top" wrapText="1"/>
      <protection/>
    </xf>
    <xf numFmtId="2" fontId="10" fillId="43" borderId="12" xfId="0" applyNumberFormat="1" applyFont="1" applyFill="1" applyBorder="1" applyAlignment="1" applyProtection="1">
      <alignment horizontal="right" vertical="top" wrapText="1"/>
      <protection/>
    </xf>
    <xf numFmtId="2" fontId="10" fillId="43" borderId="17" xfId="0" applyNumberFormat="1" applyFont="1" applyFill="1" applyBorder="1" applyAlignment="1" applyProtection="1">
      <alignment horizontal="right" vertical="top" wrapText="1"/>
      <protection/>
    </xf>
    <xf numFmtId="2" fontId="10" fillId="40" borderId="15" xfId="0" applyNumberFormat="1" applyFont="1" applyFill="1" applyBorder="1" applyAlignment="1" applyProtection="1">
      <alignment horizontal="right" vertical="top" wrapText="1"/>
      <protection/>
    </xf>
    <xf numFmtId="2" fontId="10" fillId="0" borderId="25" xfId="0" applyNumberFormat="1" applyFont="1" applyBorder="1" applyAlignment="1" applyProtection="1">
      <alignment vertical="top" wrapText="1"/>
      <protection/>
    </xf>
    <xf numFmtId="2" fontId="3" fillId="0" borderId="0" xfId="0" applyNumberFormat="1" applyFont="1" applyBorder="1" applyAlignment="1" applyProtection="1">
      <alignment horizontal="center" vertical="center" wrapText="1"/>
      <protection/>
    </xf>
    <xf numFmtId="2" fontId="10" fillId="0" borderId="0" xfId="0" applyNumberFormat="1" applyFont="1" applyBorder="1" applyAlignment="1" applyProtection="1">
      <alignment vertical="top" wrapText="1"/>
      <protection/>
    </xf>
    <xf numFmtId="0" fontId="10" fillId="45" borderId="0" xfId="0" applyFont="1" applyFill="1" applyBorder="1" applyAlignment="1" applyProtection="1">
      <alignment vertical="top" wrapText="1"/>
      <protection/>
    </xf>
    <xf numFmtId="0" fontId="26" fillId="71" borderId="71" xfId="0" applyFont="1" applyFill="1" applyBorder="1" applyAlignment="1">
      <alignment horizontal="center" vertical="center" wrapText="1"/>
    </xf>
    <xf numFmtId="0" fontId="26" fillId="71" borderId="72" xfId="0" applyFont="1" applyFill="1" applyBorder="1" applyAlignment="1">
      <alignment horizontal="center" vertical="center" wrapText="1"/>
    </xf>
    <xf numFmtId="0" fontId="0" fillId="71" borderId="73" xfId="0" applyFill="1" applyBorder="1" applyAlignment="1">
      <alignment horizontal="center" vertical="center" wrapText="1"/>
    </xf>
    <xf numFmtId="0" fontId="26" fillId="71" borderId="73" xfId="0" applyFont="1" applyFill="1" applyBorder="1" applyAlignment="1">
      <alignment horizontal="center" vertical="center" wrapText="1"/>
    </xf>
    <xf numFmtId="17" fontId="26" fillId="71" borderId="74" xfId="0" applyNumberFormat="1" applyFont="1" applyFill="1" applyBorder="1" applyAlignment="1">
      <alignment horizontal="center" vertical="center" wrapText="1"/>
    </xf>
    <xf numFmtId="0" fontId="14" fillId="72" borderId="74" xfId="0" applyFont="1" applyFill="1" applyBorder="1" applyAlignment="1">
      <alignment horizontal="center" vertical="center" wrapText="1"/>
    </xf>
    <xf numFmtId="4" fontId="14" fillId="72" borderId="74" xfId="0" applyNumberFormat="1" applyFont="1" applyFill="1" applyBorder="1" applyAlignment="1">
      <alignment horizontal="center" vertical="center" wrapText="1"/>
    </xf>
    <xf numFmtId="0" fontId="2" fillId="0" borderId="54" xfId="0" applyFont="1" applyBorder="1" applyAlignment="1" applyProtection="1">
      <alignment vertical="top" wrapText="1"/>
      <protection/>
    </xf>
    <xf numFmtId="0" fontId="6" fillId="36" borderId="33" xfId="0" applyFont="1" applyFill="1" applyBorder="1" applyAlignment="1" applyProtection="1">
      <alignment horizontal="center" vertical="center" wrapText="1"/>
      <protection/>
    </xf>
    <xf numFmtId="0" fontId="3" fillId="36" borderId="0" xfId="0" applyFont="1" applyFill="1" applyBorder="1" applyAlignment="1" applyProtection="1">
      <alignment vertical="center" wrapText="1"/>
      <protection/>
    </xf>
    <xf numFmtId="168" fontId="6" fillId="73" borderId="13" xfId="45" applyNumberFormat="1" applyFont="1" applyFill="1" applyBorder="1" applyAlignment="1" applyProtection="1">
      <alignment vertical="center" wrapText="1"/>
      <protection/>
    </xf>
    <xf numFmtId="0" fontId="3" fillId="0" borderId="0" xfId="0" applyFont="1" applyBorder="1" applyAlignment="1" applyProtection="1">
      <alignment horizontal="left" vertical="center" wrapText="1"/>
      <protection/>
    </xf>
    <xf numFmtId="1" fontId="3" fillId="0" borderId="63" xfId="0" applyNumberFormat="1" applyFont="1" applyBorder="1" applyAlignment="1" applyProtection="1">
      <alignment horizontal="center"/>
      <protection/>
    </xf>
    <xf numFmtId="1" fontId="3" fillId="0" borderId="24" xfId="0" applyNumberFormat="1" applyFont="1" applyBorder="1" applyAlignment="1" applyProtection="1">
      <alignment horizontal="center"/>
      <protection/>
    </xf>
    <xf numFmtId="1" fontId="3" fillId="0" borderId="27" xfId="0" applyNumberFormat="1" applyFont="1" applyBorder="1" applyAlignment="1" applyProtection="1">
      <alignment horizontal="center"/>
      <protection/>
    </xf>
    <xf numFmtId="1" fontId="3" fillId="0" borderId="53" xfId="0" applyNumberFormat="1" applyFont="1" applyBorder="1" applyAlignment="1" applyProtection="1">
      <alignment horizontal="center"/>
      <protection/>
    </xf>
    <xf numFmtId="0" fontId="2" fillId="39" borderId="10" xfId="0" applyFont="1" applyFill="1" applyBorder="1" applyAlignment="1" applyProtection="1">
      <alignment/>
      <protection/>
    </xf>
    <xf numFmtId="166" fontId="3" fillId="42" borderId="39" xfId="45" applyFont="1" applyFill="1" applyBorder="1" applyAlignment="1" applyProtection="1">
      <alignment vertical="center" wrapText="1"/>
      <protection/>
    </xf>
    <xf numFmtId="166" fontId="3" fillId="42" borderId="10" xfId="45" applyFont="1" applyFill="1" applyBorder="1" applyAlignment="1" applyProtection="1">
      <alignment vertical="center" wrapText="1"/>
      <protection/>
    </xf>
    <xf numFmtId="166" fontId="3" fillId="64" borderId="10" xfId="45" applyFont="1" applyFill="1" applyBorder="1" applyAlignment="1" applyProtection="1">
      <alignment vertical="center" wrapText="1"/>
      <protection/>
    </xf>
    <xf numFmtId="2" fontId="10" fillId="40" borderId="10" xfId="0" applyNumberFormat="1" applyFont="1" applyFill="1" applyBorder="1" applyAlignment="1" applyProtection="1">
      <alignment horizontal="right" vertical="top" wrapText="1"/>
      <protection/>
    </xf>
    <xf numFmtId="2" fontId="64" fillId="40" borderId="15" xfId="0" applyNumberFormat="1" applyFont="1" applyFill="1" applyBorder="1" applyAlignment="1" applyProtection="1">
      <alignment horizontal="right" vertical="top" wrapText="1"/>
      <protection/>
    </xf>
    <xf numFmtId="2" fontId="10" fillId="41" borderId="10" xfId="0" applyNumberFormat="1" applyFont="1" applyFill="1" applyBorder="1" applyAlignment="1" applyProtection="1">
      <alignment horizontal="right" vertical="top" wrapText="1"/>
      <protection/>
    </xf>
    <xf numFmtId="2" fontId="10" fillId="40" borderId="17" xfId="0" applyNumberFormat="1" applyFont="1" applyFill="1" applyBorder="1" applyAlignment="1" applyProtection="1">
      <alignment horizontal="right" vertical="top" wrapText="1"/>
      <protection/>
    </xf>
    <xf numFmtId="2" fontId="10" fillId="40" borderId="21" xfId="0" applyNumberFormat="1" applyFont="1" applyFill="1" applyBorder="1" applyAlignment="1" applyProtection="1">
      <alignment horizontal="right" vertical="top" wrapText="1"/>
      <protection/>
    </xf>
    <xf numFmtId="2" fontId="6" fillId="40" borderId="10" xfId="0" applyNumberFormat="1" applyFont="1" applyFill="1" applyBorder="1" applyAlignment="1" applyProtection="1">
      <alignment horizontal="right" vertical="center" wrapText="1"/>
      <protection/>
    </xf>
    <xf numFmtId="2" fontId="10" fillId="40" borderId="21" xfId="0" applyNumberFormat="1" applyFont="1" applyFill="1" applyBorder="1" applyAlignment="1" applyProtection="1">
      <alignment horizontal="right" vertical="top" wrapText="1"/>
      <protection/>
    </xf>
    <xf numFmtId="2" fontId="10" fillId="40" borderId="20" xfId="0" applyNumberFormat="1" applyFont="1" applyFill="1" applyBorder="1" applyAlignment="1" applyProtection="1">
      <alignment vertical="top" wrapText="1"/>
      <protection/>
    </xf>
    <xf numFmtId="169" fontId="10" fillId="40" borderId="21" xfId="0" applyNumberFormat="1" applyFont="1" applyFill="1" applyBorder="1" applyAlignment="1" applyProtection="1">
      <alignment horizontal="right" vertical="top" wrapText="1"/>
      <protection/>
    </xf>
    <xf numFmtId="0" fontId="2" fillId="0" borderId="45" xfId="0" applyFont="1" applyBorder="1" applyAlignment="1" applyProtection="1">
      <alignment/>
      <protection/>
    </xf>
    <xf numFmtId="0" fontId="2" fillId="0" borderId="47" xfId="0" applyFont="1" applyBorder="1" applyAlignment="1" applyProtection="1">
      <alignment/>
      <protection/>
    </xf>
    <xf numFmtId="0" fontId="2" fillId="0" borderId="11" xfId="0" applyFont="1" applyBorder="1" applyAlignment="1" applyProtection="1">
      <alignment/>
      <protection/>
    </xf>
    <xf numFmtId="0" fontId="3" fillId="0" borderId="46" xfId="0" applyFont="1" applyBorder="1" applyAlignment="1" applyProtection="1">
      <alignment horizontal="left" vertical="center" wrapText="1"/>
      <protection/>
    </xf>
    <xf numFmtId="0" fontId="3" fillId="0" borderId="12" xfId="0" applyFont="1" applyBorder="1" applyAlignment="1" applyProtection="1">
      <alignment horizontal="center" vertical="center" wrapText="1"/>
      <protection/>
    </xf>
    <xf numFmtId="0" fontId="6" fillId="39" borderId="46" xfId="0" applyFont="1" applyFill="1" applyBorder="1" applyAlignment="1" applyProtection="1">
      <alignment horizontal="left" vertical="center" wrapText="1"/>
      <protection/>
    </xf>
    <xf numFmtId="166" fontId="6" fillId="39" borderId="39" xfId="45" applyFont="1" applyFill="1" applyBorder="1" applyAlignment="1" applyProtection="1">
      <alignment vertical="center" wrapText="1"/>
      <protection/>
    </xf>
    <xf numFmtId="0" fontId="3" fillId="65" borderId="46" xfId="0" applyFont="1" applyFill="1" applyBorder="1" applyAlignment="1" applyProtection="1">
      <alignment horizontal="left" vertical="center" wrapText="1"/>
      <protection/>
    </xf>
    <xf numFmtId="166" fontId="3" fillId="65" borderId="12" xfId="45" applyFont="1" applyFill="1" applyBorder="1" applyAlignment="1" applyProtection="1">
      <alignment vertical="center" wrapText="1"/>
      <protection/>
    </xf>
    <xf numFmtId="0" fontId="6" fillId="33" borderId="75" xfId="0" applyFont="1" applyFill="1" applyBorder="1" applyAlignment="1" applyProtection="1">
      <alignment horizontal="left" vertical="center" wrapText="1"/>
      <protection/>
    </xf>
    <xf numFmtId="0" fontId="2" fillId="33" borderId="11" xfId="0" applyFont="1" applyFill="1" applyBorder="1" applyAlignment="1" applyProtection="1">
      <alignment/>
      <protection/>
    </xf>
    <xf numFmtId="167" fontId="6" fillId="39" borderId="46" xfId="0" applyNumberFormat="1" applyFont="1" applyFill="1" applyBorder="1" applyAlignment="1" applyProtection="1">
      <alignment horizontal="left" vertical="center" wrapText="1"/>
      <protection/>
    </xf>
    <xf numFmtId="166" fontId="6" fillId="39" borderId="15" xfId="45" applyFont="1" applyFill="1" applyBorder="1" applyAlignment="1" applyProtection="1">
      <alignment vertical="center" wrapText="1"/>
      <protection/>
    </xf>
    <xf numFmtId="167" fontId="21" fillId="39" borderId="46" xfId="0" applyNumberFormat="1" applyFont="1" applyFill="1" applyBorder="1" applyAlignment="1" applyProtection="1">
      <alignment horizontal="left" vertical="center" wrapText="1"/>
      <protection/>
    </xf>
    <xf numFmtId="166" fontId="6" fillId="39" borderId="10" xfId="45" applyFont="1" applyFill="1" applyBorder="1" applyAlignment="1" applyProtection="1">
      <alignment vertical="center" wrapText="1"/>
      <protection/>
    </xf>
    <xf numFmtId="167" fontId="3" fillId="61" borderId="46" xfId="0" applyNumberFormat="1" applyFont="1" applyFill="1" applyBorder="1" applyAlignment="1" applyProtection="1" quotePrefix="1">
      <alignment horizontal="left" vertical="center" wrapText="1"/>
      <protection/>
    </xf>
    <xf numFmtId="166" fontId="3" fillId="61" borderId="12" xfId="45" applyFont="1" applyFill="1" applyBorder="1" applyAlignment="1" applyProtection="1">
      <alignment vertical="center" wrapText="1"/>
      <protection/>
    </xf>
    <xf numFmtId="10" fontId="7" fillId="0" borderId="11" xfId="0" applyNumberFormat="1" applyFont="1" applyBorder="1" applyAlignment="1" applyProtection="1">
      <alignment horizontal="right" wrapText="1"/>
      <protection/>
    </xf>
    <xf numFmtId="0" fontId="21" fillId="39" borderId="39" xfId="0" applyFont="1" applyFill="1" applyBorder="1" applyAlignment="1" applyProtection="1">
      <alignment horizontal="left" vertical="center" wrapText="1"/>
      <protection/>
    </xf>
    <xf numFmtId="0" fontId="3" fillId="61" borderId="10" xfId="0" applyFont="1" applyFill="1" applyBorder="1" applyAlignment="1" applyProtection="1" quotePrefix="1">
      <alignment horizontal="left" vertical="center" wrapText="1"/>
      <protection/>
    </xf>
    <xf numFmtId="0" fontId="2" fillId="0" borderId="11" xfId="0" applyFont="1" applyBorder="1" applyAlignment="1" applyProtection="1">
      <alignment/>
      <protection/>
    </xf>
    <xf numFmtId="0" fontId="6" fillId="39" borderId="39" xfId="0" applyFont="1" applyFill="1" applyBorder="1" applyAlignment="1" applyProtection="1">
      <alignment horizontal="left" vertical="center" wrapText="1"/>
      <protection/>
    </xf>
    <xf numFmtId="0" fontId="3" fillId="63" borderId="10" xfId="0" applyFont="1" applyFill="1" applyBorder="1" applyAlignment="1" applyProtection="1" quotePrefix="1">
      <alignment horizontal="left" vertical="center" wrapText="1"/>
      <protection/>
    </xf>
    <xf numFmtId="166" fontId="3" fillId="63" borderId="10" xfId="45" applyFont="1" applyFill="1" applyBorder="1" applyAlignment="1" applyProtection="1">
      <alignment vertical="center" wrapText="1"/>
      <protection/>
    </xf>
    <xf numFmtId="166" fontId="3" fillId="63" borderId="12" xfId="45" applyFont="1" applyFill="1" applyBorder="1" applyAlignment="1" applyProtection="1">
      <alignment vertical="center" wrapText="1"/>
      <protection/>
    </xf>
    <xf numFmtId="166" fontId="3" fillId="61" borderId="11" xfId="45" applyFont="1" applyFill="1" applyBorder="1" applyAlignment="1" applyProtection="1">
      <alignment vertical="center" wrapText="1"/>
      <protection/>
    </xf>
    <xf numFmtId="167" fontId="6" fillId="39" borderId="63" xfId="0" applyNumberFormat="1" applyFont="1" applyFill="1" applyBorder="1" applyAlignment="1" applyProtection="1">
      <alignment horizontal="left" vertical="center" wrapText="1"/>
      <protection/>
    </xf>
    <xf numFmtId="167" fontId="3" fillId="66" borderId="46" xfId="0" applyNumberFormat="1" applyFont="1" applyFill="1" applyBorder="1" applyAlignment="1" applyProtection="1" quotePrefix="1">
      <alignment horizontal="left" vertical="center" wrapText="1"/>
      <protection/>
    </xf>
    <xf numFmtId="166" fontId="3" fillId="66" borderId="10" xfId="45" applyFont="1" applyFill="1" applyBorder="1" applyAlignment="1" applyProtection="1">
      <alignment vertical="center" wrapText="1"/>
      <protection/>
    </xf>
    <xf numFmtId="166" fontId="3" fillId="66" borderId="12" xfId="45" applyFont="1" applyFill="1" applyBorder="1" applyAlignment="1" applyProtection="1">
      <alignment vertical="center" wrapText="1"/>
      <protection/>
    </xf>
    <xf numFmtId="0" fontId="6" fillId="39" borderId="63" xfId="0" applyFont="1" applyFill="1" applyBorder="1" applyAlignment="1" applyProtection="1" quotePrefix="1">
      <alignment horizontal="left" vertical="center" wrapText="1"/>
      <protection/>
    </xf>
    <xf numFmtId="0" fontId="3" fillId="61" borderId="46" xfId="0" applyFont="1" applyFill="1" applyBorder="1" applyAlignment="1" applyProtection="1" quotePrefix="1">
      <alignment horizontal="left" vertical="center" wrapText="1"/>
      <protection/>
    </xf>
    <xf numFmtId="0" fontId="2" fillId="0" borderId="11" xfId="0" applyFont="1" applyBorder="1" applyAlignment="1" applyProtection="1">
      <alignment vertical="top" wrapText="1"/>
      <protection/>
    </xf>
    <xf numFmtId="0" fontId="6" fillId="39" borderId="46" xfId="0" applyFont="1" applyFill="1" applyBorder="1" applyAlignment="1" applyProtection="1" quotePrefix="1">
      <alignment horizontal="left" vertical="center" wrapText="1"/>
      <protection/>
    </xf>
    <xf numFmtId="166" fontId="6" fillId="39" borderId="15" xfId="0" applyNumberFormat="1" applyFont="1" applyFill="1" applyBorder="1" applyAlignment="1" applyProtection="1">
      <alignment vertical="center" wrapText="1"/>
      <protection/>
    </xf>
    <xf numFmtId="0" fontId="21" fillId="39" borderId="46" xfId="0" applyFont="1" applyFill="1" applyBorder="1" applyAlignment="1" applyProtection="1" quotePrefix="1">
      <alignment horizontal="left" vertical="center" wrapText="1"/>
      <protection/>
    </xf>
    <xf numFmtId="0" fontId="3" fillId="42" borderId="46" xfId="0" applyFont="1" applyFill="1" applyBorder="1" applyAlignment="1" applyProtection="1" quotePrefix="1">
      <alignment horizontal="left" vertical="center" wrapText="1"/>
      <protection/>
    </xf>
    <xf numFmtId="166" fontId="3" fillId="42" borderId="10" xfId="45" applyFont="1" applyFill="1" applyBorder="1" applyAlignment="1" applyProtection="1">
      <alignment vertical="center" wrapText="1"/>
      <protection/>
    </xf>
    <xf numFmtId="166" fontId="3" fillId="42" borderId="12" xfId="45" applyFont="1" applyFill="1" applyBorder="1" applyAlignment="1" applyProtection="1">
      <alignment vertical="center" wrapText="1"/>
      <protection/>
    </xf>
    <xf numFmtId="166" fontId="6" fillId="39" borderId="10" xfId="0" applyNumberFormat="1" applyFont="1" applyFill="1" applyBorder="1" applyAlignment="1" applyProtection="1">
      <alignment vertical="center" wrapText="1"/>
      <protection/>
    </xf>
    <xf numFmtId="0" fontId="3" fillId="43" borderId="10" xfId="0" applyFont="1" applyFill="1" applyBorder="1" applyAlignment="1" applyProtection="1" quotePrefix="1">
      <alignment horizontal="left" vertical="center" wrapText="1"/>
      <protection/>
    </xf>
    <xf numFmtId="166" fontId="3" fillId="43" borderId="10" xfId="45" applyFont="1" applyFill="1" applyBorder="1" applyAlignment="1" applyProtection="1">
      <alignment vertical="center" wrapText="1"/>
      <protection/>
    </xf>
    <xf numFmtId="166" fontId="3" fillId="43" borderId="12" xfId="45" applyFont="1" applyFill="1" applyBorder="1" applyAlignment="1" applyProtection="1">
      <alignment vertical="center" wrapText="1"/>
      <protection/>
    </xf>
    <xf numFmtId="0" fontId="3" fillId="63" borderId="46" xfId="0" applyFont="1" applyFill="1" applyBorder="1" applyAlignment="1" applyProtection="1" quotePrefix="1">
      <alignment horizontal="left" vertical="center" wrapText="1"/>
      <protection/>
    </xf>
    <xf numFmtId="0" fontId="3" fillId="61" borderId="46" xfId="0" applyFont="1" applyFill="1" applyBorder="1" applyAlignment="1" applyProtection="1" quotePrefix="1">
      <alignment horizontal="left" vertical="center" wrapText="1"/>
      <protection/>
    </xf>
    <xf numFmtId="0" fontId="3" fillId="36" borderId="76" xfId="0" applyFont="1" applyFill="1" applyBorder="1" applyAlignment="1" applyProtection="1">
      <alignment vertical="center" wrapText="1"/>
      <protection/>
    </xf>
    <xf numFmtId="0" fontId="6" fillId="36" borderId="77" xfId="0" applyFont="1" applyFill="1" applyBorder="1" applyAlignment="1" applyProtection="1">
      <alignment horizontal="center" vertical="center" wrapText="1"/>
      <protection/>
    </xf>
    <xf numFmtId="168" fontId="6" fillId="74" borderId="13" xfId="45" applyNumberFormat="1" applyFont="1" applyFill="1" applyBorder="1" applyAlignment="1" applyProtection="1">
      <alignment vertical="center" wrapText="1"/>
      <protection/>
    </xf>
    <xf numFmtId="0" fontId="2" fillId="0" borderId="76" xfId="0" applyFont="1" applyBorder="1" applyAlignment="1" applyProtection="1">
      <alignment horizontal="center" vertical="top" wrapText="1"/>
      <protection/>
    </xf>
    <xf numFmtId="172" fontId="0" fillId="0" borderId="47" xfId="51" applyNumberFormat="1" applyBorder="1" applyProtection="1">
      <alignment vertical="top" wrapText="1"/>
      <protection/>
    </xf>
    <xf numFmtId="0" fontId="2" fillId="0" borderId="47" xfId="0" applyFont="1" applyBorder="1" applyAlignment="1" applyProtection="1">
      <alignment vertical="top" wrapText="1"/>
      <protection/>
    </xf>
    <xf numFmtId="0" fontId="3" fillId="0" borderId="76" xfId="0" applyFont="1" applyBorder="1" applyAlignment="1" applyProtection="1">
      <alignment horizontal="left" vertical="center" wrapText="1"/>
      <protection/>
    </xf>
    <xf numFmtId="0" fontId="3" fillId="0" borderId="47"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2" fillId="0" borderId="79" xfId="0" applyFont="1" applyBorder="1" applyAlignment="1" applyProtection="1">
      <alignment horizontal="center" vertical="top" wrapText="1"/>
      <protection/>
    </xf>
    <xf numFmtId="1" fontId="2" fillId="0" borderId="47" xfId="0" applyNumberFormat="1" applyFont="1" applyBorder="1" applyAlignment="1" applyProtection="1">
      <alignment vertical="top" wrapText="1"/>
      <protection/>
    </xf>
    <xf numFmtId="0" fontId="9" fillId="39" borderId="80" xfId="0" applyFont="1" applyFill="1" applyBorder="1" applyAlignment="1" applyProtection="1">
      <alignment vertical="center"/>
      <protection/>
    </xf>
    <xf numFmtId="0" fontId="10" fillId="0" borderId="75" xfId="0" applyFont="1" applyBorder="1" applyAlignment="1" applyProtection="1">
      <alignment vertical="top" wrapText="1"/>
      <protection/>
    </xf>
    <xf numFmtId="0" fontId="10" fillId="0" borderId="16" xfId="0" applyFont="1" applyBorder="1" applyAlignment="1" applyProtection="1">
      <alignment vertical="top" wrapText="1"/>
      <protection/>
    </xf>
    <xf numFmtId="0" fontId="10" fillId="0" borderId="80" xfId="0" applyFont="1" applyBorder="1" applyAlignment="1" applyProtection="1">
      <alignment vertical="top" wrapText="1"/>
      <protection/>
    </xf>
    <xf numFmtId="169" fontId="10" fillId="0" borderId="42" xfId="0" applyNumberFormat="1" applyFont="1" applyBorder="1" applyAlignment="1" applyProtection="1">
      <alignment horizontal="right" vertical="top" wrapText="1"/>
      <protection/>
    </xf>
    <xf numFmtId="0" fontId="10" fillId="39" borderId="75" xfId="0" applyFont="1" applyFill="1" applyBorder="1" applyAlignment="1" applyProtection="1">
      <alignment vertical="top" wrapText="1"/>
      <protection/>
    </xf>
    <xf numFmtId="0" fontId="10" fillId="39" borderId="16" xfId="0" applyFont="1" applyFill="1" applyBorder="1" applyAlignment="1" applyProtection="1">
      <alignment vertical="top" wrapText="1"/>
      <protection/>
    </xf>
    <xf numFmtId="169" fontId="10" fillId="0" borderId="77" xfId="0" applyNumberFormat="1" applyFont="1" applyBorder="1" applyAlignment="1" applyProtection="1">
      <alignment horizontal="right" vertical="top" wrapText="1"/>
      <protection/>
    </xf>
    <xf numFmtId="0" fontId="10" fillId="42" borderId="75" xfId="0" applyFont="1" applyFill="1" applyBorder="1" applyAlignment="1" applyProtection="1">
      <alignment vertical="top" wrapText="1"/>
      <protection/>
    </xf>
    <xf numFmtId="0" fontId="0" fillId="0" borderId="76" xfId="0" applyFont="1" applyBorder="1" applyAlignment="1">
      <alignment vertical="top" wrapText="1"/>
    </xf>
    <xf numFmtId="0" fontId="0" fillId="0" borderId="0" xfId="0" applyFont="1" applyBorder="1" applyAlignment="1">
      <alignment vertical="top" wrapText="1"/>
    </xf>
    <xf numFmtId="2" fontId="0" fillId="0" borderId="0" xfId="0" applyNumberFormat="1" applyFont="1" applyBorder="1" applyAlignment="1">
      <alignment vertical="top" wrapText="1"/>
    </xf>
    <xf numFmtId="0" fontId="0" fillId="0" borderId="47" xfId="0" applyFont="1" applyBorder="1" applyAlignment="1">
      <alignment vertical="top" wrapText="1"/>
    </xf>
    <xf numFmtId="0" fontId="3" fillId="35" borderId="81" xfId="0" applyFont="1" applyFill="1" applyBorder="1" applyAlignment="1" applyProtection="1">
      <alignment horizontal="justify" vertical="center" wrapText="1"/>
      <protection/>
    </xf>
    <xf numFmtId="0" fontId="3" fillId="35" borderId="82" xfId="0" applyFont="1" applyFill="1" applyBorder="1" applyAlignment="1" applyProtection="1">
      <alignment horizontal="center" vertical="center" wrapText="1"/>
      <protection/>
    </xf>
    <xf numFmtId="0" fontId="2" fillId="0" borderId="76" xfId="0" applyFont="1" applyBorder="1" applyAlignment="1" applyProtection="1">
      <alignment vertical="top" wrapText="1"/>
      <protection/>
    </xf>
    <xf numFmtId="2" fontId="0" fillId="0" borderId="0" xfId="0" applyNumberFormat="1" applyBorder="1" applyAlignment="1">
      <alignment vertical="top" wrapText="1"/>
    </xf>
    <xf numFmtId="0" fontId="10" fillId="51" borderId="75" xfId="0" applyFont="1" applyFill="1" applyBorder="1" applyAlignment="1" applyProtection="1">
      <alignment vertical="top"/>
      <protection/>
    </xf>
    <xf numFmtId="0" fontId="10" fillId="51" borderId="16" xfId="0" applyFont="1" applyFill="1" applyBorder="1" applyAlignment="1" applyProtection="1">
      <alignment vertical="top" wrapText="1"/>
      <protection/>
    </xf>
    <xf numFmtId="0" fontId="10" fillId="40" borderId="80" xfId="0" applyFont="1" applyFill="1" applyBorder="1" applyAlignment="1" applyProtection="1">
      <alignment vertical="top" wrapText="1"/>
      <protection/>
    </xf>
    <xf numFmtId="0" fontId="10" fillId="68" borderId="75" xfId="0" applyFont="1" applyFill="1" applyBorder="1" applyAlignment="1" applyProtection="1">
      <alignment vertical="top" wrapText="1"/>
      <protection/>
    </xf>
    <xf numFmtId="0" fontId="10" fillId="68" borderId="16" xfId="0" applyFont="1" applyFill="1" applyBorder="1" applyAlignment="1" applyProtection="1">
      <alignment vertical="top" wrapText="1"/>
      <protection/>
    </xf>
    <xf numFmtId="0" fontId="10" fillId="51" borderId="75" xfId="0" applyFont="1" applyFill="1" applyBorder="1" applyAlignment="1" applyProtection="1">
      <alignment vertical="top" wrapText="1"/>
      <protection/>
    </xf>
    <xf numFmtId="0" fontId="10" fillId="0" borderId="83" xfId="0" applyFont="1" applyBorder="1" applyAlignment="1" applyProtection="1">
      <alignment vertical="top" wrapText="1"/>
      <protection/>
    </xf>
    <xf numFmtId="0" fontId="10" fillId="0" borderId="47" xfId="0" applyFont="1" applyBorder="1" applyAlignment="1" applyProtection="1">
      <alignment vertical="top" wrapText="1"/>
      <protection/>
    </xf>
    <xf numFmtId="0" fontId="2" fillId="0" borderId="63" xfId="0" applyFont="1" applyBorder="1" applyAlignment="1" applyProtection="1">
      <alignment horizontal="center" vertical="top" wrapText="1"/>
      <protection/>
    </xf>
    <xf numFmtId="2" fontId="3" fillId="0" borderId="78" xfId="0" applyNumberFormat="1" applyFont="1" applyBorder="1" applyAlignment="1" applyProtection="1">
      <alignment horizontal="center" vertical="center" wrapText="1"/>
      <protection/>
    </xf>
    <xf numFmtId="1" fontId="3" fillId="0" borderId="32" xfId="0" applyNumberFormat="1" applyFont="1" applyBorder="1" applyAlignment="1" applyProtection="1">
      <alignment horizontal="right"/>
      <protection/>
    </xf>
    <xf numFmtId="10" fontId="7" fillId="0" borderId="32" xfId="0" applyNumberFormat="1" applyFont="1" applyBorder="1" applyAlignment="1" applyProtection="1">
      <alignment horizontal="right" wrapText="1"/>
      <protection/>
    </xf>
    <xf numFmtId="10" fontId="7" fillId="37" borderId="32" xfId="0" applyNumberFormat="1" applyFont="1" applyFill="1" applyBorder="1" applyAlignment="1" applyProtection="1">
      <alignment horizontal="right" wrapText="1"/>
      <protection/>
    </xf>
    <xf numFmtId="0" fontId="2" fillId="0" borderId="53" xfId="0" applyFont="1" applyBorder="1" applyAlignment="1" applyProtection="1">
      <alignment horizontal="center" vertical="top" wrapText="1"/>
      <protection/>
    </xf>
    <xf numFmtId="0" fontId="2" fillId="0" borderId="50" xfId="0" applyFont="1" applyBorder="1" applyAlignment="1" applyProtection="1">
      <alignment horizontal="center" vertical="top" wrapText="1"/>
      <protection/>
    </xf>
    <xf numFmtId="1" fontId="3" fillId="0" borderId="79" xfId="0" applyNumberFormat="1" applyFont="1" applyBorder="1" applyAlignment="1" applyProtection="1">
      <alignment horizontal="center" vertical="center"/>
      <protection/>
    </xf>
    <xf numFmtId="1" fontId="3" fillId="0" borderId="44" xfId="0" applyNumberFormat="1" applyFont="1" applyBorder="1" applyAlignment="1" applyProtection="1">
      <alignment horizontal="center" vertical="center"/>
      <protection/>
    </xf>
    <xf numFmtId="1" fontId="3" fillId="0" borderId="76" xfId="0" applyNumberFormat="1" applyFont="1" applyBorder="1" applyAlignment="1" applyProtection="1">
      <alignment horizontal="center" vertical="center"/>
      <protection/>
    </xf>
    <xf numFmtId="1" fontId="3" fillId="0" borderId="0" xfId="0" applyNumberFormat="1"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5" fillId="0" borderId="85" xfId="0" applyFont="1" applyBorder="1" applyAlignment="1" applyProtection="1">
      <alignment horizontal="center" vertical="center"/>
      <protection/>
    </xf>
    <xf numFmtId="0" fontId="20" fillId="39" borderId="32" xfId="0" applyFont="1" applyFill="1" applyBorder="1" applyAlignment="1" applyProtection="1">
      <alignment horizontal="center" vertical="center" wrapText="1"/>
      <protection/>
    </xf>
    <xf numFmtId="0" fontId="20" fillId="39" borderId="34" xfId="0" applyFont="1" applyFill="1" applyBorder="1" applyAlignment="1" applyProtection="1">
      <alignment horizontal="center" vertical="center" wrapText="1"/>
      <protection/>
    </xf>
    <xf numFmtId="0" fontId="20" fillId="39" borderId="62" xfId="0" applyFont="1" applyFill="1" applyBorder="1" applyAlignment="1" applyProtection="1">
      <alignment horizontal="center" vertical="center" wrapText="1"/>
      <protection/>
    </xf>
    <xf numFmtId="0" fontId="6" fillId="75" borderId="13" xfId="0" applyFont="1" applyFill="1" applyBorder="1" applyAlignment="1" applyProtection="1">
      <alignment horizontal="left" wrapText="1"/>
      <protection/>
    </xf>
    <xf numFmtId="0" fontId="2" fillId="0" borderId="76" xfId="0" applyFont="1" applyBorder="1" applyAlignment="1" applyProtection="1">
      <alignment horizontal="center" vertical="top" wrapText="1"/>
      <protection/>
    </xf>
    <xf numFmtId="0" fontId="2" fillId="0" borderId="0" xfId="0" applyFont="1" applyBorder="1" applyAlignment="1" applyProtection="1">
      <alignment horizontal="center" vertical="top" wrapText="1"/>
      <protection/>
    </xf>
    <xf numFmtId="0" fontId="2" fillId="0" borderId="76"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7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76"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3" fillId="0" borderId="63"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10" fillId="48" borderId="75" xfId="0" applyFont="1" applyFill="1" applyBorder="1" applyAlignment="1" applyProtection="1">
      <alignment horizontal="left" vertical="top" wrapText="1"/>
      <protection/>
    </xf>
    <xf numFmtId="0" fontId="10" fillId="48" borderId="19" xfId="0" applyFont="1" applyFill="1" applyBorder="1" applyAlignment="1" applyProtection="1">
      <alignment horizontal="left" vertical="top" wrapText="1"/>
      <protection/>
    </xf>
    <xf numFmtId="0" fontId="10" fillId="48" borderId="16" xfId="0" applyFont="1" applyFill="1" applyBorder="1" applyAlignment="1" applyProtection="1">
      <alignment horizontal="left" vertical="top" wrapText="1"/>
      <protection/>
    </xf>
    <xf numFmtId="0" fontId="26" fillId="71" borderId="71" xfId="0" applyFont="1" applyFill="1" applyBorder="1" applyAlignment="1">
      <alignment horizontal="center" vertical="center" wrapText="1"/>
    </xf>
    <xf numFmtId="0" fontId="26" fillId="71" borderId="72" xfId="0" applyFont="1" applyFill="1" applyBorder="1" applyAlignment="1">
      <alignment horizontal="center" vertical="center" wrapText="1"/>
    </xf>
    <xf numFmtId="0" fontId="26" fillId="71" borderId="73" xfId="0" applyFont="1" applyFill="1" applyBorder="1" applyAlignment="1">
      <alignment horizontal="center" vertical="center" wrapText="1"/>
    </xf>
    <xf numFmtId="0" fontId="3" fillId="0" borderId="47" xfId="0" applyFont="1" applyBorder="1" applyAlignment="1" applyProtection="1">
      <alignment horizontal="center" vertical="center" wrapText="1"/>
      <protection/>
    </xf>
    <xf numFmtId="0" fontId="3" fillId="0" borderId="76" xfId="0" applyFont="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3" fillId="0" borderId="47" xfId="0" applyFont="1" applyBorder="1" applyAlignment="1" applyProtection="1">
      <alignment horizontal="center" vertical="top" wrapText="1"/>
      <protection/>
    </xf>
    <xf numFmtId="0" fontId="5" fillId="0" borderId="76" xfId="0" applyFont="1" applyBorder="1" applyAlignment="1" applyProtection="1">
      <alignment horizontal="center" vertical="top" wrapText="1"/>
      <protection/>
    </xf>
    <xf numFmtId="0" fontId="5" fillId="0" borderId="0" xfId="0" applyFont="1" applyBorder="1" applyAlignment="1" applyProtection="1">
      <alignment horizontal="center" vertical="top" wrapText="1"/>
      <protection/>
    </xf>
    <xf numFmtId="0" fontId="5" fillId="0" borderId="47" xfId="0" applyFont="1" applyBorder="1" applyAlignment="1" applyProtection="1">
      <alignment horizontal="center" vertical="top" wrapText="1"/>
      <protection/>
    </xf>
    <xf numFmtId="1" fontId="2" fillId="0" borderId="44" xfId="0" applyNumberFormat="1" applyFont="1" applyBorder="1" applyAlignment="1" applyProtection="1">
      <alignment horizontal="center" vertical="top" wrapText="1"/>
      <protection/>
    </xf>
    <xf numFmtId="1" fontId="2" fillId="0" borderId="45" xfId="0" applyNumberFormat="1" applyFont="1" applyBorder="1" applyAlignment="1" applyProtection="1">
      <alignment horizontal="center" vertical="top" wrapText="1"/>
      <protection/>
    </xf>
    <xf numFmtId="1" fontId="2" fillId="0" borderId="0" xfId="0" applyNumberFormat="1" applyFont="1" applyBorder="1" applyAlignment="1" applyProtection="1">
      <alignment horizontal="right" vertical="top" wrapText="1"/>
      <protection/>
    </xf>
    <xf numFmtId="1" fontId="2" fillId="0" borderId="47" xfId="0" applyNumberFormat="1" applyFont="1" applyBorder="1" applyAlignment="1" applyProtection="1">
      <alignment horizontal="right" vertical="top" wrapText="1"/>
      <protection/>
    </xf>
    <xf numFmtId="1" fontId="2" fillId="0" borderId="0" xfId="0" applyNumberFormat="1" applyFont="1" applyBorder="1" applyAlignment="1" applyProtection="1">
      <alignment horizontal="center" vertical="top" wrapText="1"/>
      <protection/>
    </xf>
    <xf numFmtId="1" fontId="2" fillId="0" borderId="47" xfId="0" applyNumberFormat="1" applyFont="1" applyBorder="1" applyAlignment="1" applyProtection="1">
      <alignment horizontal="center" vertical="top" wrapText="1"/>
      <protection/>
    </xf>
    <xf numFmtId="0" fontId="13" fillId="33" borderId="32" xfId="0" applyFont="1" applyFill="1" applyBorder="1" applyAlignment="1" applyProtection="1">
      <alignment horizontal="left" wrapText="1"/>
      <protection/>
    </xf>
    <xf numFmtId="0" fontId="13" fillId="0" borderId="10" xfId="0" applyFont="1" applyBorder="1" applyAlignment="1" applyProtection="1">
      <alignment horizontal="center" wrapText="1"/>
      <protection/>
    </xf>
    <xf numFmtId="0" fontId="13" fillId="0" borderId="29" xfId="0" applyFont="1" applyBorder="1" applyAlignment="1" applyProtection="1">
      <alignment horizontal="center" wrapText="1"/>
      <protection/>
    </xf>
    <xf numFmtId="0" fontId="14" fillId="0" borderId="32" xfId="0" applyFont="1" applyBorder="1" applyAlignment="1" applyProtection="1">
      <alignment horizontal="left" vertical="center" wrapText="1"/>
      <protection/>
    </xf>
    <xf numFmtId="0" fontId="13" fillId="0" borderId="31" xfId="0" applyFont="1" applyBorder="1" applyAlignment="1" applyProtection="1">
      <alignment horizontal="center" wrapText="1"/>
      <protection/>
    </xf>
    <xf numFmtId="0" fontId="13" fillId="33" borderId="33" xfId="0" applyFont="1" applyFill="1" applyBorder="1" applyAlignment="1" applyProtection="1">
      <alignment horizontal="center" wrapText="1"/>
      <protection/>
    </xf>
    <xf numFmtId="0" fontId="13" fillId="0" borderId="15" xfId="0" applyFont="1" applyBorder="1" applyAlignment="1" applyProtection="1">
      <alignment horizontal="center" wrapText="1"/>
      <protection/>
    </xf>
    <xf numFmtId="1" fontId="13" fillId="0" borderId="86" xfId="0" applyNumberFormat="1" applyFont="1" applyBorder="1" applyAlignment="1" applyProtection="1">
      <alignment horizontal="center" wrapText="1"/>
      <protection/>
    </xf>
    <xf numFmtId="1" fontId="3" fillId="0" borderId="85" xfId="0" applyNumberFormat="1" applyFont="1" applyBorder="1" applyAlignment="1" applyProtection="1">
      <alignment horizontal="center" vertical="center"/>
      <protection/>
    </xf>
    <xf numFmtId="0" fontId="4" fillId="0" borderId="67" xfId="0" applyFont="1" applyBorder="1" applyAlignment="1" applyProtection="1">
      <alignment horizontal="center"/>
      <protection/>
    </xf>
    <xf numFmtId="0" fontId="7" fillId="0" borderId="10"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10" fontId="7" fillId="0" borderId="10" xfId="0" applyNumberFormat="1" applyFont="1" applyBorder="1" applyAlignment="1" applyProtection="1">
      <alignment horizontal="center" vertical="center" wrapText="1"/>
      <protection/>
    </xf>
    <xf numFmtId="10" fontId="7" fillId="0" borderId="32" xfId="0" applyNumberFormat="1"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2" fontId="3" fillId="70" borderId="10" xfId="0" applyNumberFormat="1" applyFont="1" applyFill="1" applyBorder="1" applyAlignment="1" applyProtection="1">
      <alignment horizontal="center" vertical="center" wrapText="1"/>
      <protection/>
    </xf>
    <xf numFmtId="4" fontId="3" fillId="0" borderId="10" xfId="0" applyNumberFormat="1" applyFont="1" applyBorder="1" applyAlignment="1" applyProtection="1">
      <alignment horizontal="center" vertical="center" wrapText="1"/>
      <protection/>
    </xf>
    <xf numFmtId="0" fontId="0" fillId="0" borderId="87" xfId="0" applyFont="1" applyBorder="1" applyAlignment="1" applyProtection="1">
      <alignment horizontal="center" vertical="top" wrapText="1"/>
      <protection/>
    </xf>
    <xf numFmtId="0" fontId="0" fillId="0" borderId="85" xfId="0" applyFont="1" applyBorder="1" applyAlignment="1" applyProtection="1">
      <alignment horizontal="center" vertical="top" wrapText="1"/>
      <protection/>
    </xf>
    <xf numFmtId="0" fontId="3" fillId="0" borderId="85" xfId="0" applyFont="1" applyBorder="1" applyAlignment="1" applyProtection="1">
      <alignment horizontal="center" vertical="center"/>
      <protection/>
    </xf>
    <xf numFmtId="0" fontId="17" fillId="38" borderId="20" xfId="0" applyFont="1" applyFill="1" applyBorder="1" applyAlignment="1" applyProtection="1">
      <alignment horizontal="left" vertical="top" wrapText="1"/>
      <protection/>
    </xf>
    <xf numFmtId="0" fontId="3" fillId="0" borderId="85" xfId="0" applyFont="1" applyBorder="1" applyAlignment="1" applyProtection="1">
      <alignment horizontal="center" vertical="center" wrapText="1"/>
      <protection/>
    </xf>
    <xf numFmtId="0" fontId="6" fillId="39" borderId="33" xfId="0" applyFont="1" applyFill="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0" borderId="88"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3" fillId="35" borderId="24" xfId="0" applyFont="1" applyFill="1" applyBorder="1" applyAlignment="1" applyProtection="1">
      <alignment horizontal="left" vertical="center" wrapText="1"/>
      <protection/>
    </xf>
    <xf numFmtId="0" fontId="3" fillId="35" borderId="25" xfId="0" applyFont="1" applyFill="1" applyBorder="1" applyAlignment="1" applyProtection="1">
      <alignment horizontal="left" vertical="center" wrapText="1"/>
      <protection/>
    </xf>
    <xf numFmtId="0" fontId="17" fillId="38" borderId="46" xfId="0" applyFont="1" applyFill="1" applyBorder="1" applyAlignment="1" applyProtection="1">
      <alignment horizontal="left" vertical="center" wrapText="1"/>
      <protection/>
    </xf>
    <xf numFmtId="0" fontId="17" fillId="38" borderId="89" xfId="0" applyFont="1" applyFill="1" applyBorder="1" applyAlignment="1" applyProtection="1">
      <alignment horizontal="left" vertical="center" wrapText="1"/>
      <protection/>
    </xf>
    <xf numFmtId="0" fontId="17" fillId="38" borderId="90" xfId="0" applyFont="1" applyFill="1" applyBorder="1" applyAlignment="1" applyProtection="1">
      <alignment horizontal="left" vertical="center" wrapText="1"/>
      <protection/>
    </xf>
    <xf numFmtId="0" fontId="3" fillId="35" borderId="52" xfId="0" applyFont="1" applyFill="1" applyBorder="1" applyAlignment="1" applyProtection="1">
      <alignment horizontal="left" vertical="center" wrapText="1"/>
      <protection/>
    </xf>
    <xf numFmtId="0" fontId="3" fillId="35" borderId="23" xfId="0" applyFont="1" applyFill="1" applyBorder="1" applyAlignment="1" applyProtection="1">
      <alignment horizontal="left" vertical="center" wrapText="1"/>
      <protection/>
    </xf>
    <xf numFmtId="0" fontId="6" fillId="39" borderId="19" xfId="0" applyFont="1" applyFill="1" applyBorder="1" applyAlignment="1" applyProtection="1">
      <alignment horizontal="center" vertical="top" wrapText="1"/>
      <protection/>
    </xf>
    <xf numFmtId="0" fontId="6" fillId="39" borderId="20" xfId="0" applyFont="1" applyFill="1" applyBorder="1" applyAlignment="1" applyProtection="1">
      <alignment horizontal="center" vertical="top" wrapText="1"/>
      <protection/>
    </xf>
    <xf numFmtId="173" fontId="6" fillId="35" borderId="19" xfId="0" applyNumberFormat="1" applyFont="1" applyFill="1" applyBorder="1" applyAlignment="1" applyProtection="1">
      <alignment horizontal="center" vertical="center" wrapText="1"/>
      <protection/>
    </xf>
    <xf numFmtId="173" fontId="6" fillId="35" borderId="20" xfId="0" applyNumberFormat="1" applyFont="1" applyFill="1" applyBorder="1" applyAlignment="1" applyProtection="1">
      <alignment horizontal="center" vertical="center" wrapText="1"/>
      <protection/>
    </xf>
    <xf numFmtId="0" fontId="6" fillId="38" borderId="46" xfId="0" applyFont="1" applyFill="1" applyBorder="1" applyAlignment="1" applyProtection="1">
      <alignment horizontal="left" vertical="center" wrapText="1"/>
      <protection/>
    </xf>
    <xf numFmtId="0" fontId="6" fillId="38" borderId="89" xfId="0" applyFont="1" applyFill="1" applyBorder="1" applyAlignment="1" applyProtection="1">
      <alignment horizontal="left" vertical="center" wrapText="1"/>
      <protection/>
    </xf>
    <xf numFmtId="0" fontId="6" fillId="38" borderId="90" xfId="0" applyFont="1" applyFill="1" applyBorder="1" applyAlignment="1" applyProtection="1">
      <alignment horizontal="left" vertical="center" wrapText="1"/>
      <protection/>
    </xf>
    <xf numFmtId="0" fontId="3" fillId="0" borderId="32" xfId="0" applyFont="1" applyBorder="1" applyAlignment="1" applyProtection="1">
      <alignment horizontal="center" vertical="center" wrapText="1"/>
      <protection/>
    </xf>
    <xf numFmtId="0" fontId="6" fillId="35" borderId="19" xfId="0" applyFont="1" applyFill="1" applyBorder="1" applyAlignment="1" applyProtection="1">
      <alignment horizontal="center" vertical="center"/>
      <protection/>
    </xf>
    <xf numFmtId="0" fontId="6" fillId="35" borderId="20" xfId="0" applyFont="1" applyFill="1" applyBorder="1" applyAlignment="1" applyProtection="1">
      <alignment horizontal="center" vertical="center"/>
      <protection/>
    </xf>
    <xf numFmtId="0" fontId="21" fillId="35" borderId="23" xfId="0" applyFont="1" applyFill="1" applyBorder="1" applyAlignment="1" applyProtection="1">
      <alignment horizontal="center" vertical="center"/>
      <protection/>
    </xf>
    <xf numFmtId="0" fontId="21" fillId="35" borderId="55" xfId="0" applyFont="1" applyFill="1" applyBorder="1" applyAlignment="1" applyProtection="1">
      <alignment horizontal="center" vertical="center"/>
      <protection/>
    </xf>
    <xf numFmtId="0" fontId="3" fillId="0" borderId="51" xfId="0" applyFont="1" applyBorder="1" applyAlignment="1" applyProtection="1">
      <alignment horizontal="center" vertical="center" wrapText="1"/>
      <protection/>
    </xf>
    <xf numFmtId="0" fontId="6" fillId="38" borderId="26" xfId="0" applyFont="1" applyFill="1" applyBorder="1" applyAlignment="1" applyProtection="1">
      <alignment horizontal="left" vertical="top"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Neutra" xfId="48"/>
    <cellStyle name="Normal 2"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A6A6A6"/>
      <rgbColor rgb="00993366"/>
      <rgbColor rgb="00FFFFCC"/>
      <rgbColor rgb="00DDDDDD"/>
      <rgbColor rgb="00660066"/>
      <rgbColor rgb="00FFA93A"/>
      <rgbColor rgb="00007FFF"/>
      <rgbColor rgb="00CCCCCC"/>
      <rgbColor rgb="00000080"/>
      <rgbColor rgb="00FF00FF"/>
      <rgbColor rgb="00FFFF00"/>
      <rgbColor rgb="0000FFFF"/>
      <rgbColor rgb="00800080"/>
      <rgbColor rgb="00800000"/>
      <rgbColor rgb="00008080"/>
      <rgbColor rgb="000000FF"/>
      <rgbColor rgb="0000CCFF"/>
      <rgbColor rgb="00D9D9D9"/>
      <rgbColor rgb="00CCFFCC"/>
      <rgbColor rgb="00F7E383"/>
      <rgbColor rgb="00A8DC85"/>
      <rgbColor rgb="00FF99CC"/>
      <rgbColor rgb="00CC99FF"/>
      <rgbColor rgb="00FFCCCC"/>
      <rgbColor rgb="003366FF"/>
      <rgbColor rgb="0033CCCC"/>
      <rgbColor rgb="0092D050"/>
      <rgbColor rgb="00FFC000"/>
      <rgbColor rgb="00EB8400"/>
      <rgbColor rgb="00FF6600"/>
      <rgbColor rgb="00666699"/>
      <rgbColor rgb="00999999"/>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4324350</xdr:colOff>
      <xdr:row>0</xdr:row>
      <xdr:rowOff>76200</xdr:rowOff>
    </xdr:from>
    <xdr:to>
      <xdr:col>3</xdr:col>
      <xdr:colOff>5019675</xdr:colOff>
      <xdr:row>3</xdr:row>
      <xdr:rowOff>180975</xdr:rowOff>
    </xdr:to>
    <xdr:pic>
      <xdr:nvPicPr>
        <xdr:cNvPr id="1" name="Imagem 8"/>
        <xdr:cNvPicPr preferRelativeResize="1">
          <a:picLocks noChangeAspect="1"/>
        </xdr:cNvPicPr>
      </xdr:nvPicPr>
      <xdr:blipFill>
        <a:blip r:embed="rId1"/>
        <a:stretch>
          <a:fillRect/>
        </a:stretch>
      </xdr:blipFill>
      <xdr:spPr>
        <a:xfrm>
          <a:off x="5734050" y="76200"/>
          <a:ext cx="695325" cy="714375"/>
        </a:xfrm>
        <a:prstGeom prst="rect">
          <a:avLst/>
        </a:prstGeom>
        <a:noFill/>
        <a:ln w="9525" cmpd="sng">
          <a:noFill/>
        </a:ln>
      </xdr:spPr>
    </xdr:pic>
    <xdr:clientData/>
  </xdr:twoCellAnchor>
  <xdr:twoCellAnchor editAs="oneCell">
    <xdr:from>
      <xdr:col>7</xdr:col>
      <xdr:colOff>0</xdr:colOff>
      <xdr:row>1</xdr:row>
      <xdr:rowOff>19050</xdr:rowOff>
    </xdr:from>
    <xdr:to>
      <xdr:col>8</xdr:col>
      <xdr:colOff>704850</xdr:colOff>
      <xdr:row>4</xdr:row>
      <xdr:rowOff>133350</xdr:rowOff>
    </xdr:to>
    <xdr:pic>
      <xdr:nvPicPr>
        <xdr:cNvPr id="2" name="Imagem 4"/>
        <xdr:cNvPicPr preferRelativeResize="1">
          <a:picLocks noChangeAspect="1"/>
        </xdr:cNvPicPr>
      </xdr:nvPicPr>
      <xdr:blipFill>
        <a:blip r:embed="rId2"/>
        <a:stretch>
          <a:fillRect/>
        </a:stretch>
      </xdr:blipFill>
      <xdr:spPr>
        <a:xfrm>
          <a:off x="11068050" y="228600"/>
          <a:ext cx="1809750" cy="714375"/>
        </a:xfrm>
        <a:prstGeom prst="rect">
          <a:avLst/>
        </a:prstGeom>
        <a:noFill/>
        <a:ln w="9525" cmpd="sng">
          <a:noFill/>
        </a:ln>
      </xdr:spPr>
    </xdr:pic>
    <xdr:clientData/>
  </xdr:twoCellAnchor>
  <xdr:twoCellAnchor editAs="oneCell">
    <xdr:from>
      <xdr:col>2</xdr:col>
      <xdr:colOff>285750</xdr:colOff>
      <xdr:row>0</xdr:row>
      <xdr:rowOff>152400</xdr:rowOff>
    </xdr:from>
    <xdr:to>
      <xdr:col>3</xdr:col>
      <xdr:colOff>152400</xdr:colOff>
      <xdr:row>5</xdr:row>
      <xdr:rowOff>85725</xdr:rowOff>
    </xdr:to>
    <xdr:pic>
      <xdr:nvPicPr>
        <xdr:cNvPr id="3" name="Imagem 5"/>
        <xdr:cNvPicPr preferRelativeResize="1">
          <a:picLocks noChangeAspect="1"/>
        </xdr:cNvPicPr>
      </xdr:nvPicPr>
      <xdr:blipFill>
        <a:blip r:embed="rId3"/>
        <a:stretch>
          <a:fillRect/>
        </a:stretch>
      </xdr:blipFill>
      <xdr:spPr>
        <a:xfrm>
          <a:off x="666750" y="152400"/>
          <a:ext cx="8953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1619250</xdr:colOff>
      <xdr:row>0</xdr:row>
      <xdr:rowOff>95250</xdr:rowOff>
    </xdr:from>
    <xdr:to>
      <xdr:col>2</xdr:col>
      <xdr:colOff>323850</xdr:colOff>
      <xdr:row>3</xdr:row>
      <xdr:rowOff>190500</xdr:rowOff>
    </xdr:to>
    <xdr:pic>
      <xdr:nvPicPr>
        <xdr:cNvPr id="1" name="Imagem 7"/>
        <xdr:cNvPicPr preferRelativeResize="1">
          <a:picLocks noChangeAspect="1"/>
        </xdr:cNvPicPr>
      </xdr:nvPicPr>
      <xdr:blipFill>
        <a:blip r:embed="rId1"/>
        <a:stretch>
          <a:fillRect/>
        </a:stretch>
      </xdr:blipFill>
      <xdr:spPr>
        <a:xfrm>
          <a:off x="2924175" y="95250"/>
          <a:ext cx="904875" cy="790575"/>
        </a:xfrm>
        <a:prstGeom prst="rect">
          <a:avLst/>
        </a:prstGeom>
        <a:noFill/>
        <a:ln w="9525" cmpd="sng">
          <a:noFill/>
        </a:ln>
      </xdr:spPr>
    </xdr:pic>
    <xdr:clientData/>
  </xdr:twoCellAnchor>
  <xdr:twoCellAnchor editAs="oneCell">
    <xdr:from>
      <xdr:col>4</xdr:col>
      <xdr:colOff>457200</xdr:colOff>
      <xdr:row>1</xdr:row>
      <xdr:rowOff>19050</xdr:rowOff>
    </xdr:from>
    <xdr:to>
      <xdr:col>5</xdr:col>
      <xdr:colOff>1028700</xdr:colOff>
      <xdr:row>3</xdr:row>
      <xdr:rowOff>171450</xdr:rowOff>
    </xdr:to>
    <xdr:pic>
      <xdr:nvPicPr>
        <xdr:cNvPr id="2" name="Imagem 5"/>
        <xdr:cNvPicPr preferRelativeResize="1">
          <a:picLocks noChangeAspect="1"/>
        </xdr:cNvPicPr>
      </xdr:nvPicPr>
      <xdr:blipFill>
        <a:blip r:embed="rId2"/>
        <a:stretch>
          <a:fillRect/>
        </a:stretch>
      </xdr:blipFill>
      <xdr:spPr>
        <a:xfrm>
          <a:off x="4991100" y="219075"/>
          <a:ext cx="1657350" cy="647700"/>
        </a:xfrm>
        <a:prstGeom prst="rect">
          <a:avLst/>
        </a:prstGeom>
        <a:noFill/>
        <a:ln w="9525" cmpd="sng">
          <a:noFill/>
        </a:ln>
      </xdr:spPr>
    </xdr:pic>
    <xdr:clientData/>
  </xdr:twoCellAnchor>
  <xdr:twoCellAnchor editAs="oneCell">
    <xdr:from>
      <xdr:col>0</xdr:col>
      <xdr:colOff>123825</xdr:colOff>
      <xdr:row>0</xdr:row>
      <xdr:rowOff>152400</xdr:rowOff>
    </xdr:from>
    <xdr:to>
      <xdr:col>0</xdr:col>
      <xdr:colOff>952500</xdr:colOff>
      <xdr:row>4</xdr:row>
      <xdr:rowOff>95250</xdr:rowOff>
    </xdr:to>
    <xdr:pic>
      <xdr:nvPicPr>
        <xdr:cNvPr id="3" name="Imagem 6"/>
        <xdr:cNvPicPr preferRelativeResize="1">
          <a:picLocks noChangeAspect="1"/>
        </xdr:cNvPicPr>
      </xdr:nvPicPr>
      <xdr:blipFill>
        <a:blip r:embed="rId3"/>
        <a:stretch>
          <a:fillRect/>
        </a:stretch>
      </xdr:blipFill>
      <xdr:spPr>
        <a:xfrm>
          <a:off x="123825" y="152400"/>
          <a:ext cx="8286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0</xdr:row>
      <xdr:rowOff>123825</xdr:rowOff>
    </xdr:from>
    <xdr:to>
      <xdr:col>2</xdr:col>
      <xdr:colOff>0</xdr:colOff>
      <xdr:row>5</xdr:row>
      <xdr:rowOff>152400</xdr:rowOff>
    </xdr:to>
    <xdr:sp>
      <xdr:nvSpPr>
        <xdr:cNvPr id="1" name="CustomShape 1"/>
        <xdr:cNvSpPr>
          <a:spLocks/>
        </xdr:cNvSpPr>
      </xdr:nvSpPr>
      <xdr:spPr>
        <a:xfrm>
          <a:off x="2705100" y="123825"/>
          <a:ext cx="0" cy="838200"/>
        </a:xfrm>
        <a:prstGeom prst="rect">
          <a:avLst/>
        </a:prstGeom>
        <a:solidFill>
          <a:srgbClr val="FFFFFF"/>
        </a:solidFill>
        <a:ln w="12600"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5</xdr:col>
      <xdr:colOff>838200</xdr:colOff>
      <xdr:row>0</xdr:row>
      <xdr:rowOff>66675</xdr:rowOff>
    </xdr:from>
    <xdr:to>
      <xdr:col>7</xdr:col>
      <xdr:colOff>180975</xdr:colOff>
      <xdr:row>5</xdr:row>
      <xdr:rowOff>66675</xdr:rowOff>
    </xdr:to>
    <xdr:pic>
      <xdr:nvPicPr>
        <xdr:cNvPr id="2" name="Imagem 11"/>
        <xdr:cNvPicPr preferRelativeResize="1">
          <a:picLocks noChangeAspect="1"/>
        </xdr:cNvPicPr>
      </xdr:nvPicPr>
      <xdr:blipFill>
        <a:blip r:embed="rId1"/>
        <a:stretch>
          <a:fillRect/>
        </a:stretch>
      </xdr:blipFill>
      <xdr:spPr>
        <a:xfrm>
          <a:off x="6162675" y="66675"/>
          <a:ext cx="781050" cy="809625"/>
        </a:xfrm>
        <a:prstGeom prst="rect">
          <a:avLst/>
        </a:prstGeom>
        <a:noFill/>
        <a:ln w="9525" cmpd="sng">
          <a:noFill/>
        </a:ln>
      </xdr:spPr>
    </xdr:pic>
    <xdr:clientData/>
  </xdr:twoCellAnchor>
  <xdr:twoCellAnchor editAs="oneCell">
    <xdr:from>
      <xdr:col>12</xdr:col>
      <xdr:colOff>171450</xdr:colOff>
      <xdr:row>2</xdr:row>
      <xdr:rowOff>104775</xdr:rowOff>
    </xdr:from>
    <xdr:to>
      <xdr:col>14</xdr:col>
      <xdr:colOff>323850</xdr:colOff>
      <xdr:row>6</xdr:row>
      <xdr:rowOff>152400</xdr:rowOff>
    </xdr:to>
    <xdr:pic>
      <xdr:nvPicPr>
        <xdr:cNvPr id="3" name="Imagem 9"/>
        <xdr:cNvPicPr preferRelativeResize="1">
          <a:picLocks noChangeAspect="1"/>
        </xdr:cNvPicPr>
      </xdr:nvPicPr>
      <xdr:blipFill>
        <a:blip r:embed="rId2"/>
        <a:stretch>
          <a:fillRect/>
        </a:stretch>
      </xdr:blipFill>
      <xdr:spPr>
        <a:xfrm>
          <a:off x="10934700" y="428625"/>
          <a:ext cx="1724025" cy="695325"/>
        </a:xfrm>
        <a:prstGeom prst="rect">
          <a:avLst/>
        </a:prstGeom>
        <a:noFill/>
        <a:ln w="9525" cmpd="sng">
          <a:noFill/>
        </a:ln>
      </xdr:spPr>
    </xdr:pic>
    <xdr:clientData/>
  </xdr:twoCellAnchor>
  <xdr:twoCellAnchor editAs="oneCell">
    <xdr:from>
      <xdr:col>0</xdr:col>
      <xdr:colOff>314325</xdr:colOff>
      <xdr:row>1</xdr:row>
      <xdr:rowOff>152400</xdr:rowOff>
    </xdr:from>
    <xdr:to>
      <xdr:col>0</xdr:col>
      <xdr:colOff>1162050</xdr:colOff>
      <xdr:row>8</xdr:row>
      <xdr:rowOff>19050</xdr:rowOff>
    </xdr:to>
    <xdr:pic>
      <xdr:nvPicPr>
        <xdr:cNvPr id="4" name="Imagem 10"/>
        <xdr:cNvPicPr preferRelativeResize="1">
          <a:picLocks noChangeAspect="1"/>
        </xdr:cNvPicPr>
      </xdr:nvPicPr>
      <xdr:blipFill>
        <a:blip r:embed="rId3"/>
        <a:stretch>
          <a:fillRect/>
        </a:stretch>
      </xdr:blipFill>
      <xdr:spPr>
        <a:xfrm>
          <a:off x="314325" y="314325"/>
          <a:ext cx="84772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2209800</xdr:colOff>
      <xdr:row>0</xdr:row>
      <xdr:rowOff>47625</xdr:rowOff>
    </xdr:from>
    <xdr:to>
      <xdr:col>2</xdr:col>
      <xdr:colOff>285750</xdr:colOff>
      <xdr:row>4</xdr:row>
      <xdr:rowOff>19050</xdr:rowOff>
    </xdr:to>
    <xdr:pic>
      <xdr:nvPicPr>
        <xdr:cNvPr id="1" name="Imagem 8"/>
        <xdr:cNvPicPr preferRelativeResize="1">
          <a:picLocks noChangeAspect="1"/>
        </xdr:cNvPicPr>
      </xdr:nvPicPr>
      <xdr:blipFill>
        <a:blip r:embed="rId1"/>
        <a:stretch>
          <a:fillRect/>
        </a:stretch>
      </xdr:blipFill>
      <xdr:spPr>
        <a:xfrm>
          <a:off x="3362325" y="47625"/>
          <a:ext cx="790575" cy="733425"/>
        </a:xfrm>
        <a:prstGeom prst="rect">
          <a:avLst/>
        </a:prstGeom>
        <a:noFill/>
        <a:ln w="9525" cmpd="sng">
          <a:noFill/>
        </a:ln>
      </xdr:spPr>
    </xdr:pic>
    <xdr:clientData/>
  </xdr:twoCellAnchor>
  <xdr:twoCellAnchor editAs="absolute">
    <xdr:from>
      <xdr:col>0</xdr:col>
      <xdr:colOff>47625</xdr:colOff>
      <xdr:row>51</xdr:row>
      <xdr:rowOff>19050</xdr:rowOff>
    </xdr:from>
    <xdr:to>
      <xdr:col>1</xdr:col>
      <xdr:colOff>2286000</xdr:colOff>
      <xdr:row>53</xdr:row>
      <xdr:rowOff>133350</xdr:rowOff>
    </xdr:to>
    <xdr:pic>
      <xdr:nvPicPr>
        <xdr:cNvPr id="2" name="Figura 1"/>
        <xdr:cNvPicPr preferRelativeResize="1">
          <a:picLocks noChangeAspect="1"/>
        </xdr:cNvPicPr>
      </xdr:nvPicPr>
      <xdr:blipFill>
        <a:blip r:embed="rId2"/>
        <a:srcRect l="38165" t="37727" r="39176" b="56971"/>
        <a:stretch>
          <a:fillRect/>
        </a:stretch>
      </xdr:blipFill>
      <xdr:spPr>
        <a:xfrm>
          <a:off x="47625" y="22850475"/>
          <a:ext cx="3390900" cy="495300"/>
        </a:xfrm>
        <a:prstGeom prst="rect">
          <a:avLst/>
        </a:prstGeom>
        <a:noFill/>
        <a:ln w="9525" cmpd="sng">
          <a:noFill/>
        </a:ln>
      </xdr:spPr>
    </xdr:pic>
    <xdr:clientData/>
  </xdr:twoCellAnchor>
  <xdr:twoCellAnchor editAs="absolute">
    <xdr:from>
      <xdr:col>1</xdr:col>
      <xdr:colOff>2419350</xdr:colOff>
      <xdr:row>50</xdr:row>
      <xdr:rowOff>123825</xdr:rowOff>
    </xdr:from>
    <xdr:to>
      <xdr:col>4</xdr:col>
      <xdr:colOff>57150</xdr:colOff>
      <xdr:row>55</xdr:row>
      <xdr:rowOff>152400</xdr:rowOff>
    </xdr:to>
    <xdr:pic>
      <xdr:nvPicPr>
        <xdr:cNvPr id="3" name="Figura 1"/>
        <xdr:cNvPicPr preferRelativeResize="1">
          <a:picLocks noChangeAspect="1"/>
        </xdr:cNvPicPr>
      </xdr:nvPicPr>
      <xdr:blipFill>
        <a:blip r:embed="rId2"/>
        <a:srcRect l="35426" t="72247" r="49473" b="16299"/>
        <a:stretch>
          <a:fillRect/>
        </a:stretch>
      </xdr:blipFill>
      <xdr:spPr>
        <a:xfrm>
          <a:off x="3571875" y="22764750"/>
          <a:ext cx="2038350" cy="981075"/>
        </a:xfrm>
        <a:prstGeom prst="rect">
          <a:avLst/>
        </a:prstGeom>
        <a:noFill/>
        <a:ln w="9525" cmpd="sng">
          <a:noFill/>
        </a:ln>
      </xdr:spPr>
    </xdr:pic>
    <xdr:clientData/>
  </xdr:twoCellAnchor>
  <xdr:twoCellAnchor editAs="absolute">
    <xdr:from>
      <xdr:col>4</xdr:col>
      <xdr:colOff>428625</xdr:colOff>
      <xdr:row>50</xdr:row>
      <xdr:rowOff>0</xdr:rowOff>
    </xdr:from>
    <xdr:to>
      <xdr:col>6</xdr:col>
      <xdr:colOff>0</xdr:colOff>
      <xdr:row>55</xdr:row>
      <xdr:rowOff>142875</xdr:rowOff>
    </xdr:to>
    <xdr:pic>
      <xdr:nvPicPr>
        <xdr:cNvPr id="4" name="Figura 1"/>
        <xdr:cNvPicPr preferRelativeResize="1">
          <a:picLocks noChangeAspect="1"/>
        </xdr:cNvPicPr>
      </xdr:nvPicPr>
      <xdr:blipFill>
        <a:blip r:embed="rId2"/>
        <a:srcRect l="32719" t="48971" r="49473" b="27810"/>
        <a:stretch>
          <a:fillRect/>
        </a:stretch>
      </xdr:blipFill>
      <xdr:spPr>
        <a:xfrm>
          <a:off x="5981700" y="22640925"/>
          <a:ext cx="1323975" cy="1095375"/>
        </a:xfrm>
        <a:prstGeom prst="rect">
          <a:avLst/>
        </a:prstGeom>
        <a:noFill/>
        <a:ln w="9525" cmpd="sng">
          <a:noFill/>
        </a:ln>
      </xdr:spPr>
    </xdr:pic>
    <xdr:clientData/>
  </xdr:twoCellAnchor>
  <xdr:twoCellAnchor editAs="oneCell">
    <xdr:from>
      <xdr:col>4</xdr:col>
      <xdr:colOff>190500</xdr:colOff>
      <xdr:row>0</xdr:row>
      <xdr:rowOff>123825</xdr:rowOff>
    </xdr:from>
    <xdr:to>
      <xdr:col>5</xdr:col>
      <xdr:colOff>609600</xdr:colOff>
      <xdr:row>3</xdr:row>
      <xdr:rowOff>95250</xdr:rowOff>
    </xdr:to>
    <xdr:pic>
      <xdr:nvPicPr>
        <xdr:cNvPr id="5" name="Imagem 7"/>
        <xdr:cNvPicPr preferRelativeResize="1">
          <a:picLocks noChangeAspect="1"/>
        </xdr:cNvPicPr>
      </xdr:nvPicPr>
      <xdr:blipFill>
        <a:blip r:embed="rId3"/>
        <a:stretch>
          <a:fillRect/>
        </a:stretch>
      </xdr:blipFill>
      <xdr:spPr>
        <a:xfrm>
          <a:off x="5743575" y="123825"/>
          <a:ext cx="1362075" cy="542925"/>
        </a:xfrm>
        <a:prstGeom prst="rect">
          <a:avLst/>
        </a:prstGeom>
        <a:noFill/>
        <a:ln w="9525" cmpd="sng">
          <a:noFill/>
        </a:ln>
      </xdr:spPr>
    </xdr:pic>
    <xdr:clientData/>
  </xdr:twoCellAnchor>
  <xdr:twoCellAnchor editAs="oneCell">
    <xdr:from>
      <xdr:col>0</xdr:col>
      <xdr:colOff>142875</xdr:colOff>
      <xdr:row>0</xdr:row>
      <xdr:rowOff>104775</xdr:rowOff>
    </xdr:from>
    <xdr:to>
      <xdr:col>0</xdr:col>
      <xdr:colOff>895350</xdr:colOff>
      <xdr:row>4</xdr:row>
      <xdr:rowOff>200025</xdr:rowOff>
    </xdr:to>
    <xdr:pic>
      <xdr:nvPicPr>
        <xdr:cNvPr id="6" name="Imagem 8"/>
        <xdr:cNvPicPr preferRelativeResize="1">
          <a:picLocks noChangeAspect="1"/>
        </xdr:cNvPicPr>
      </xdr:nvPicPr>
      <xdr:blipFill>
        <a:blip r:embed="rId4"/>
        <a:stretch>
          <a:fillRect/>
        </a:stretch>
      </xdr:blipFill>
      <xdr:spPr>
        <a:xfrm>
          <a:off x="142875" y="104775"/>
          <a:ext cx="7524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223"/>
  <sheetViews>
    <sheetView showGridLines="0" tabSelected="1" view="pageBreakPreview" zoomScaleSheetLayoutView="100" zoomScalePageLayoutView="89" workbookViewId="0" topLeftCell="B1">
      <selection activeCell="E51" sqref="E51"/>
    </sheetView>
  </sheetViews>
  <sheetFormatPr defaultColWidth="6.59765625" defaultRowHeight="15"/>
  <cols>
    <col min="1" max="1" width="6.59765625" style="255" hidden="1" customWidth="1"/>
    <col min="2" max="2" width="4" style="329" customWidth="1"/>
    <col min="3" max="3" width="10.796875" style="276" customWidth="1"/>
    <col min="4" max="4" width="79" style="255" customWidth="1"/>
    <col min="5" max="5" width="5.796875" style="275" customWidth="1"/>
    <col min="6" max="6" width="6.69921875" style="230" customWidth="1"/>
    <col min="7" max="7" width="9.8984375" style="255" customWidth="1"/>
    <col min="8" max="8" width="11.59765625" style="255" customWidth="1"/>
    <col min="9" max="9" width="13.3984375" style="1" customWidth="1"/>
    <col min="10" max="10" width="12.3984375" style="255" customWidth="1"/>
    <col min="11" max="11" width="15.69921875" style="255" customWidth="1"/>
    <col min="12" max="12" width="6.59765625" style="255" customWidth="1"/>
    <col min="13" max="13" width="19.59765625" style="255" customWidth="1"/>
    <col min="14" max="14" width="9.796875" style="255" customWidth="1"/>
    <col min="15" max="16384" width="6.59765625" style="255" customWidth="1"/>
  </cols>
  <sheetData>
    <row r="1" spans="1:11" ht="16.5" customHeight="1">
      <c r="A1" s="588"/>
      <c r="B1" s="693"/>
      <c r="C1" s="694"/>
      <c r="D1" s="694"/>
      <c r="E1" s="694"/>
      <c r="F1" s="694"/>
      <c r="G1" s="694"/>
      <c r="H1" s="694"/>
      <c r="I1" s="604"/>
      <c r="J1" s="203"/>
      <c r="K1" s="204"/>
    </row>
    <row r="2" spans="1:11" ht="15.75" customHeight="1">
      <c r="A2" s="589"/>
      <c r="B2" s="695"/>
      <c r="C2" s="696"/>
      <c r="D2" s="696"/>
      <c r="E2" s="696"/>
      <c r="F2" s="696"/>
      <c r="G2" s="696"/>
      <c r="H2" s="696"/>
      <c r="I2" s="605"/>
      <c r="J2" s="207"/>
      <c r="K2" s="208"/>
    </row>
    <row r="3" spans="1:11" ht="15.75" customHeight="1">
      <c r="A3" s="589"/>
      <c r="B3" s="695"/>
      <c r="C3" s="696"/>
      <c r="D3" s="696"/>
      <c r="E3" s="696"/>
      <c r="F3" s="696"/>
      <c r="G3" s="696"/>
      <c r="H3" s="696"/>
      <c r="I3" s="605"/>
      <c r="J3" s="207"/>
      <c r="K3" s="208"/>
    </row>
    <row r="4" spans="1:11" ht="15.75" customHeight="1">
      <c r="A4" s="589"/>
      <c r="B4" s="695"/>
      <c r="C4" s="696"/>
      <c r="D4" s="696"/>
      <c r="E4" s="696"/>
      <c r="F4" s="696"/>
      <c r="G4" s="696"/>
      <c r="H4" s="696"/>
      <c r="I4" s="605"/>
      <c r="J4" s="207"/>
      <c r="K4" s="208"/>
    </row>
    <row r="5" spans="1:11" ht="15.75" customHeight="1">
      <c r="A5" s="589"/>
      <c r="B5" s="697" t="s">
        <v>0</v>
      </c>
      <c r="C5" s="698"/>
      <c r="D5" s="698"/>
      <c r="E5" s="698"/>
      <c r="F5" s="698"/>
      <c r="G5" s="698"/>
      <c r="H5" s="698"/>
      <c r="I5" s="605"/>
      <c r="J5" s="207"/>
      <c r="K5" s="208"/>
    </row>
    <row r="6" spans="1:11" ht="15.75" customHeight="1">
      <c r="A6" s="589"/>
      <c r="B6" s="697" t="s">
        <v>1</v>
      </c>
      <c r="C6" s="698"/>
      <c r="D6" s="698"/>
      <c r="E6" s="698"/>
      <c r="F6" s="698"/>
      <c r="G6" s="698"/>
      <c r="H6" s="698"/>
      <c r="I6" s="208"/>
      <c r="J6" s="207"/>
      <c r="K6" s="208"/>
    </row>
    <row r="7" spans="1:11" ht="15.75" customHeight="1">
      <c r="A7" s="589"/>
      <c r="B7" s="697" t="s">
        <v>2</v>
      </c>
      <c r="C7" s="698"/>
      <c r="D7" s="698"/>
      <c r="E7" s="698"/>
      <c r="F7" s="698"/>
      <c r="G7" s="698"/>
      <c r="H7" s="698"/>
      <c r="I7" s="208"/>
      <c r="J7" s="207"/>
      <c r="K7" s="208"/>
    </row>
    <row r="8" spans="1:11" ht="14.25" customHeight="1" thickBot="1">
      <c r="A8" s="590"/>
      <c r="B8" s="699" t="s">
        <v>3</v>
      </c>
      <c r="C8" s="700"/>
      <c r="D8" s="700"/>
      <c r="E8" s="700"/>
      <c r="F8" s="700"/>
      <c r="G8" s="700"/>
      <c r="H8" s="700"/>
      <c r="I8" s="606"/>
      <c r="J8" s="207"/>
      <c r="K8" s="208"/>
    </row>
    <row r="9" spans="1:11" ht="15.75" customHeight="1">
      <c r="A9" s="587"/>
      <c r="B9" s="701" t="s">
        <v>1654</v>
      </c>
      <c r="C9" s="702"/>
      <c r="D9" s="702"/>
      <c r="E9" s="702"/>
      <c r="F9" s="702"/>
      <c r="G9" s="702"/>
      <c r="H9" s="702"/>
      <c r="I9" s="208"/>
      <c r="J9" s="207"/>
      <c r="K9" s="208"/>
    </row>
    <row r="10" spans="1:11" s="212" customFormat="1" ht="13.5" customHeight="1">
      <c r="A10" s="209"/>
      <c r="B10" s="703" t="s">
        <v>4</v>
      </c>
      <c r="C10" s="704"/>
      <c r="D10" s="704"/>
      <c r="E10" s="704"/>
      <c r="F10" s="704"/>
      <c r="G10" s="704"/>
      <c r="H10" s="705"/>
      <c r="I10" s="591"/>
      <c r="J10" s="210"/>
      <c r="K10" s="211"/>
    </row>
    <row r="11" spans="1:11" ht="38.25" customHeight="1" thickBot="1">
      <c r="A11" s="213" t="s">
        <v>5</v>
      </c>
      <c r="B11" s="607" t="s">
        <v>6</v>
      </c>
      <c r="C11" s="214" t="s">
        <v>7</v>
      </c>
      <c r="D11" s="215" t="s">
        <v>8</v>
      </c>
      <c r="E11" s="216" t="s">
        <v>9</v>
      </c>
      <c r="F11" s="217" t="s">
        <v>10</v>
      </c>
      <c r="G11" s="214" t="s">
        <v>11</v>
      </c>
      <c r="H11" s="475" t="s">
        <v>12</v>
      </c>
      <c r="I11" s="608" t="s">
        <v>1849</v>
      </c>
      <c r="J11" s="207"/>
      <c r="K11" s="218"/>
    </row>
    <row r="12" spans="1:11" ht="38.25" customHeight="1">
      <c r="A12" s="213"/>
      <c r="B12" s="609" t="s">
        <v>13</v>
      </c>
      <c r="C12" s="219"/>
      <c r="D12" s="220" t="s">
        <v>14</v>
      </c>
      <c r="E12" s="221"/>
      <c r="F12" s="222"/>
      <c r="G12" s="223"/>
      <c r="H12" s="476">
        <f>ROUND(SUM(H13),2)</f>
        <v>575.42</v>
      </c>
      <c r="I12" s="610">
        <f>H12*1.2586</f>
        <v>724.2236119999999</v>
      </c>
      <c r="J12" s="207"/>
      <c r="K12" s="218"/>
    </row>
    <row r="13" spans="1:256" s="357" customFormat="1" ht="16.5" thickBot="1">
      <c r="A13" s="353"/>
      <c r="B13" s="611" t="s">
        <v>15</v>
      </c>
      <c r="C13" s="425" t="s">
        <v>16</v>
      </c>
      <c r="D13" s="426" t="s">
        <v>17</v>
      </c>
      <c r="E13" s="427" t="s">
        <v>18</v>
      </c>
      <c r="F13" s="428">
        <v>1</v>
      </c>
      <c r="G13" s="429">
        <f>COMPOSIÇÕES!F102</f>
        <v>575.4200000000001</v>
      </c>
      <c r="H13" s="477">
        <f>'ADITIVO - PLANILHA ORÇAMETARIA '!G13*'ADITIVO - PLANILHA ORÇAMETARIA '!F13</f>
        <v>575.4200000000001</v>
      </c>
      <c r="I13" s="612">
        <f>H13*1.2586</f>
        <v>724.223612</v>
      </c>
      <c r="J13" s="354">
        <v>575.22</v>
      </c>
      <c r="K13" s="384"/>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356"/>
      <c r="EU13" s="356"/>
      <c r="EV13" s="356"/>
      <c r="EW13" s="356"/>
      <c r="EX13" s="356"/>
      <c r="EY13" s="356"/>
      <c r="EZ13" s="356"/>
      <c r="FA13" s="356"/>
      <c r="FB13" s="356"/>
      <c r="FC13" s="356"/>
      <c r="FD13" s="356"/>
      <c r="FE13" s="356"/>
      <c r="FF13" s="356"/>
      <c r="FG13" s="356"/>
      <c r="FH13" s="356"/>
      <c r="FI13" s="356"/>
      <c r="FJ13" s="356"/>
      <c r="FK13" s="356"/>
      <c r="FL13" s="356"/>
      <c r="FM13" s="356"/>
      <c r="FN13" s="356"/>
      <c r="FO13" s="356"/>
      <c r="FP13" s="356"/>
      <c r="FQ13" s="356"/>
      <c r="FR13" s="356"/>
      <c r="FS13" s="356"/>
      <c r="FT13" s="356"/>
      <c r="FU13" s="356"/>
      <c r="FV13" s="356"/>
      <c r="FW13" s="356"/>
      <c r="FX13" s="356"/>
      <c r="FY13" s="356"/>
      <c r="FZ13" s="356"/>
      <c r="GA13" s="356"/>
      <c r="GB13" s="356"/>
      <c r="GC13" s="356"/>
      <c r="GD13" s="356"/>
      <c r="GE13" s="356"/>
      <c r="GF13" s="356"/>
      <c r="GG13" s="356"/>
      <c r="GH13" s="356"/>
      <c r="GI13" s="356"/>
      <c r="GJ13" s="356"/>
      <c r="GK13" s="356"/>
      <c r="GL13" s="356"/>
      <c r="GM13" s="356"/>
      <c r="GN13" s="356"/>
      <c r="GO13" s="356"/>
      <c r="GP13" s="356"/>
      <c r="GQ13" s="356"/>
      <c r="GR13" s="356"/>
      <c r="GS13" s="356"/>
      <c r="GT13" s="356"/>
      <c r="GU13" s="356"/>
      <c r="GV13" s="356"/>
      <c r="GW13" s="356"/>
      <c r="GX13" s="356"/>
      <c r="GY13" s="356"/>
      <c r="GZ13" s="356"/>
      <c r="HA13" s="356"/>
      <c r="HB13" s="356"/>
      <c r="HC13" s="356"/>
      <c r="HD13" s="356"/>
      <c r="HE13" s="356"/>
      <c r="HF13" s="356"/>
      <c r="HG13" s="356"/>
      <c r="HH13" s="356"/>
      <c r="HI13" s="356"/>
      <c r="HJ13" s="356"/>
      <c r="HK13" s="356"/>
      <c r="HL13" s="356"/>
      <c r="HM13" s="356"/>
      <c r="HN13" s="356"/>
      <c r="HO13" s="356"/>
      <c r="HP13" s="356"/>
      <c r="HQ13" s="356"/>
      <c r="HR13" s="356"/>
      <c r="HS13" s="356"/>
      <c r="HT13" s="356"/>
      <c r="HU13" s="356"/>
      <c r="HV13" s="356"/>
      <c r="HW13" s="356"/>
      <c r="HX13" s="356"/>
      <c r="HY13" s="356"/>
      <c r="HZ13" s="356"/>
      <c r="IA13" s="356"/>
      <c r="IB13" s="356"/>
      <c r="IC13" s="356"/>
      <c r="ID13" s="356"/>
      <c r="IE13" s="356"/>
      <c r="IF13" s="356"/>
      <c r="IG13" s="356"/>
      <c r="IH13" s="356"/>
      <c r="II13" s="356"/>
      <c r="IJ13" s="356"/>
      <c r="IK13" s="356"/>
      <c r="IL13" s="356"/>
      <c r="IM13" s="356"/>
      <c r="IN13" s="356"/>
      <c r="IO13" s="356"/>
      <c r="IP13" s="356"/>
      <c r="IQ13" s="356"/>
      <c r="IR13" s="356"/>
      <c r="IS13" s="356"/>
      <c r="IT13" s="356"/>
      <c r="IU13" s="356"/>
      <c r="IV13" s="356"/>
    </row>
    <row r="14" spans="1:11" s="230" customFormat="1" ht="16.5" thickBot="1">
      <c r="A14" s="224"/>
      <c r="B14" s="613"/>
      <c r="C14" s="225"/>
      <c r="D14" s="225"/>
      <c r="E14" s="226"/>
      <c r="F14" s="225"/>
      <c r="G14" s="227"/>
      <c r="H14" s="478"/>
      <c r="I14" s="614"/>
      <c r="J14" s="228"/>
      <c r="K14" s="229"/>
    </row>
    <row r="15" spans="1:11" s="234" customFormat="1" ht="19.5" customHeight="1">
      <c r="A15" s="231"/>
      <c r="B15" s="615" t="s">
        <v>19</v>
      </c>
      <c r="C15" s="219"/>
      <c r="D15" s="220" t="s">
        <v>20</v>
      </c>
      <c r="E15" s="221"/>
      <c r="F15" s="222"/>
      <c r="G15" s="223"/>
      <c r="H15" s="479">
        <f>H25+H16</f>
        <v>39868.45</v>
      </c>
      <c r="I15" s="616">
        <f>H15*1.2586</f>
        <v>50178.431169999996</v>
      </c>
      <c r="J15" s="232"/>
      <c r="K15" s="233"/>
    </row>
    <row r="16" spans="1:11" s="243" customFormat="1" ht="19.5" customHeight="1">
      <c r="A16" s="235"/>
      <c r="B16" s="617" t="s">
        <v>21</v>
      </c>
      <c r="C16" s="236"/>
      <c r="D16" s="237" t="s">
        <v>22</v>
      </c>
      <c r="E16" s="238"/>
      <c r="F16" s="239"/>
      <c r="G16" s="240"/>
      <c r="H16" s="476">
        <f>ROUND(SUM(H17:H23),2)</f>
        <v>15238.06</v>
      </c>
      <c r="I16" s="618">
        <f aca="true" t="shared" si="0" ref="I16:I23">H16*1.2586</f>
        <v>19178.622315999997</v>
      </c>
      <c r="J16" s="241"/>
      <c r="K16" s="242"/>
    </row>
    <row r="17" spans="1:11" s="348" customFormat="1" ht="15.75">
      <c r="A17" s="345"/>
      <c r="B17" s="619" t="s">
        <v>23</v>
      </c>
      <c r="C17" s="414" t="s">
        <v>24</v>
      </c>
      <c r="D17" s="422" t="s">
        <v>25</v>
      </c>
      <c r="E17" s="415" t="s">
        <v>26</v>
      </c>
      <c r="F17" s="413">
        <v>12</v>
      </c>
      <c r="G17" s="416">
        <v>313.9</v>
      </c>
      <c r="H17" s="480">
        <f>'ADITIVO - PLANILHA ORÇAMETARIA '!G17*'ADITIVO - PLANILHA ORÇAMETARIA '!F17</f>
        <v>3766.7999999999997</v>
      </c>
      <c r="I17" s="417">
        <f t="shared" si="0"/>
        <v>4740.894479999999</v>
      </c>
      <c r="J17" s="346">
        <v>252.11</v>
      </c>
      <c r="K17" s="347"/>
    </row>
    <row r="18" spans="1:11" s="381" customFormat="1" ht="15.75">
      <c r="A18" s="378"/>
      <c r="B18" s="619" t="s">
        <v>27</v>
      </c>
      <c r="C18" s="413" t="s">
        <v>28</v>
      </c>
      <c r="D18" s="422" t="s">
        <v>29</v>
      </c>
      <c r="E18" s="415" t="s">
        <v>18</v>
      </c>
      <c r="F18" s="413">
        <v>1</v>
      </c>
      <c r="G18" s="416">
        <f>COMPOSIÇÕES!F33</f>
        <v>4163.8486</v>
      </c>
      <c r="H18" s="480">
        <f>'ADITIVO - PLANILHA ORÇAMETARIA '!G18*'ADITIVO - PLANILHA ORÇAMETARIA '!F18</f>
        <v>4163.8486</v>
      </c>
      <c r="I18" s="417">
        <f t="shared" si="0"/>
        <v>5240.61984796</v>
      </c>
      <c r="J18" s="379">
        <v>3897.7265999999995</v>
      </c>
      <c r="K18" s="380"/>
    </row>
    <row r="19" spans="1:11" s="348" customFormat="1" ht="15.75">
      <c r="A19" s="345"/>
      <c r="B19" s="619" t="s">
        <v>30</v>
      </c>
      <c r="C19" s="413" t="s">
        <v>31</v>
      </c>
      <c r="D19" s="422" t="s">
        <v>32</v>
      </c>
      <c r="E19" s="415" t="s">
        <v>18</v>
      </c>
      <c r="F19" s="413">
        <v>1</v>
      </c>
      <c r="G19" s="416">
        <f>COMPOSIÇÕES!F47</f>
        <v>1152.46</v>
      </c>
      <c r="H19" s="480">
        <f>'ADITIVO - PLANILHA ORÇAMETARIA '!G19*'ADITIVO - PLANILHA ORÇAMETARIA '!F19</f>
        <v>1152.46</v>
      </c>
      <c r="I19" s="417">
        <f t="shared" si="0"/>
        <v>1450.486156</v>
      </c>
      <c r="J19" s="346">
        <v>1132.94</v>
      </c>
      <c r="K19" s="347"/>
    </row>
    <row r="20" spans="1:11" s="348" customFormat="1" ht="15.75">
      <c r="A20" s="345"/>
      <c r="B20" s="619" t="s">
        <v>33</v>
      </c>
      <c r="C20" s="413" t="s">
        <v>34</v>
      </c>
      <c r="D20" s="422" t="s">
        <v>35</v>
      </c>
      <c r="E20" s="415" t="s">
        <v>18</v>
      </c>
      <c r="F20" s="413">
        <v>1</v>
      </c>
      <c r="G20" s="416">
        <f>COMPOSIÇÕES!F54</f>
        <v>1312.8999999999999</v>
      </c>
      <c r="H20" s="480">
        <f>'ADITIVO - PLANILHA ORÇAMETARIA '!G20*'ADITIVO - PLANILHA ORÇAMETARIA '!F20</f>
        <v>1312.8999999999999</v>
      </c>
      <c r="I20" s="417">
        <f t="shared" si="0"/>
        <v>1652.4159399999999</v>
      </c>
      <c r="J20" s="346">
        <v>1309.86</v>
      </c>
      <c r="K20" s="347"/>
    </row>
    <row r="21" spans="1:11" s="352" customFormat="1" ht="15.75">
      <c r="A21" s="349"/>
      <c r="B21" s="619" t="s">
        <v>36</v>
      </c>
      <c r="C21" s="413" t="s">
        <v>37</v>
      </c>
      <c r="D21" s="422" t="s">
        <v>38</v>
      </c>
      <c r="E21" s="415" t="s">
        <v>18</v>
      </c>
      <c r="F21" s="413">
        <v>1</v>
      </c>
      <c r="G21" s="416">
        <v>214.82</v>
      </c>
      <c r="H21" s="480">
        <f>'ADITIVO - PLANILHA ORÇAMETARIA '!G21*'ADITIVO - PLANILHA ORÇAMETARIA '!F21</f>
        <v>214.82</v>
      </c>
      <c r="I21" s="417">
        <f t="shared" si="0"/>
        <v>270.37245199999995</v>
      </c>
      <c r="J21" s="350">
        <v>214.82</v>
      </c>
      <c r="K21" s="351"/>
    </row>
    <row r="22" spans="1:11" s="352" customFormat="1" ht="25.5">
      <c r="A22" s="349"/>
      <c r="B22" s="619" t="s">
        <v>1817</v>
      </c>
      <c r="C22" s="413" t="s">
        <v>40</v>
      </c>
      <c r="D22" s="422" t="s">
        <v>41</v>
      </c>
      <c r="E22" s="423" t="s">
        <v>42</v>
      </c>
      <c r="F22" s="424">
        <v>6</v>
      </c>
      <c r="G22" s="416">
        <f>COMPOSIÇÕES!F39</f>
        <v>394.53</v>
      </c>
      <c r="H22" s="480">
        <f>'ADITIVO - PLANILHA ORÇAMETARIA '!G22*'ADITIVO - PLANILHA ORÇAMETARIA '!F22</f>
        <v>2367.18</v>
      </c>
      <c r="I22" s="417">
        <f t="shared" si="0"/>
        <v>2979.332748</v>
      </c>
      <c r="J22" s="350">
        <v>937.5</v>
      </c>
      <c r="K22" s="351"/>
    </row>
    <row r="23" spans="1:11" s="352" customFormat="1" ht="16.5" thickBot="1">
      <c r="A23" s="349"/>
      <c r="B23" s="619" t="s">
        <v>39</v>
      </c>
      <c r="C23" s="414" t="s">
        <v>44</v>
      </c>
      <c r="D23" s="413" t="s">
        <v>45</v>
      </c>
      <c r="E23" s="415" t="s">
        <v>26</v>
      </c>
      <c r="F23" s="413">
        <v>1235</v>
      </c>
      <c r="G23" s="416">
        <v>1.83</v>
      </c>
      <c r="H23" s="480">
        <f>'ADITIVO - PLANILHA ORÇAMETARIA '!G23*'ADITIVO - PLANILHA ORÇAMETARIA '!F23</f>
        <v>2260.05</v>
      </c>
      <c r="I23" s="620">
        <f t="shared" si="0"/>
        <v>2844.49893</v>
      </c>
      <c r="J23" s="350">
        <v>2.01</v>
      </c>
      <c r="K23" s="351"/>
    </row>
    <row r="24" spans="1:11" s="247" customFormat="1" ht="16.5" thickBot="1">
      <c r="A24" s="244"/>
      <c r="B24" s="613"/>
      <c r="C24" s="225"/>
      <c r="D24" s="225"/>
      <c r="E24" s="226"/>
      <c r="F24" s="225"/>
      <c r="G24" s="227"/>
      <c r="H24" s="478"/>
      <c r="I24" s="621"/>
      <c r="J24" s="245"/>
      <c r="K24" s="246"/>
    </row>
    <row r="25" spans="1:11" s="254" customFormat="1" ht="15.75">
      <c r="A25" s="248"/>
      <c r="B25" s="622" t="s">
        <v>46</v>
      </c>
      <c r="C25" s="239"/>
      <c r="D25" s="239" t="s">
        <v>47</v>
      </c>
      <c r="E25" s="249"/>
      <c r="F25" s="250"/>
      <c r="G25" s="251"/>
      <c r="H25" s="476">
        <f>ROUND(SUM(H26:H39),2)</f>
        <v>24630.39</v>
      </c>
      <c r="I25" s="616">
        <f>H25*1.2586</f>
        <v>30999.808854</v>
      </c>
      <c r="J25" s="252"/>
      <c r="K25" s="253"/>
    </row>
    <row r="26" spans="1:11" s="352" customFormat="1" ht="15.75">
      <c r="A26" s="349"/>
      <c r="B26" s="623" t="s">
        <v>1673</v>
      </c>
      <c r="C26" s="413" t="s">
        <v>48</v>
      </c>
      <c r="D26" s="414" t="s">
        <v>49</v>
      </c>
      <c r="E26" s="415" t="s">
        <v>26</v>
      </c>
      <c r="F26" s="413">
        <v>7.68</v>
      </c>
      <c r="G26" s="416">
        <v>3.48</v>
      </c>
      <c r="H26" s="480">
        <f>'ADITIVO - PLANILHA ORÇAMETARIA '!G26*'ADITIVO - PLANILHA ORÇAMETARIA '!F26</f>
        <v>26.726399999999998</v>
      </c>
      <c r="I26" s="417">
        <f aca="true" t="shared" si="1" ref="I26:I89">H26*1.2586</f>
        <v>33.63784704</v>
      </c>
      <c r="J26" s="350">
        <v>3.41</v>
      </c>
      <c r="K26" s="351"/>
    </row>
    <row r="27" spans="1:11" s="352" customFormat="1" ht="15.75">
      <c r="A27" s="349"/>
      <c r="B27" s="623" t="s">
        <v>1674</v>
      </c>
      <c r="C27" s="413" t="s">
        <v>50</v>
      </c>
      <c r="D27" s="414" t="s">
        <v>51</v>
      </c>
      <c r="E27" s="415" t="s">
        <v>52</v>
      </c>
      <c r="F27" s="413">
        <f>1.59+1.83</f>
        <v>3.42</v>
      </c>
      <c r="G27" s="416">
        <v>16.58</v>
      </c>
      <c r="H27" s="480">
        <f>'ADITIVO - PLANILHA ORÇAMETARIA '!G27*'ADITIVO - PLANILHA ORÇAMETARIA '!F27</f>
        <v>56.703599999999994</v>
      </c>
      <c r="I27" s="417">
        <f t="shared" si="1"/>
        <v>71.36715095999999</v>
      </c>
      <c r="J27" s="350">
        <v>16.27</v>
      </c>
      <c r="K27" s="351"/>
    </row>
    <row r="28" spans="1:11" s="352" customFormat="1" ht="15.75">
      <c r="A28" s="349"/>
      <c r="B28" s="623" t="s">
        <v>1675</v>
      </c>
      <c r="C28" s="414" t="s">
        <v>54</v>
      </c>
      <c r="D28" s="414" t="s">
        <v>55</v>
      </c>
      <c r="E28" s="415" t="s">
        <v>52</v>
      </c>
      <c r="F28" s="408">
        <v>33.22</v>
      </c>
      <c r="G28" s="416">
        <v>189.68</v>
      </c>
      <c r="H28" s="480">
        <f>'ADITIVO - PLANILHA ORÇAMETARIA '!G28*'ADITIVO - PLANILHA ORÇAMETARIA '!F28</f>
        <v>6301.1696</v>
      </c>
      <c r="I28" s="417">
        <f t="shared" si="1"/>
        <v>7930.65205856</v>
      </c>
      <c r="J28" s="350">
        <v>196.14</v>
      </c>
      <c r="K28" s="351"/>
    </row>
    <row r="29" spans="1:11" s="348" customFormat="1" ht="15.75">
      <c r="A29" s="345"/>
      <c r="B29" s="623" t="s">
        <v>1676</v>
      </c>
      <c r="C29" s="413" t="s">
        <v>57</v>
      </c>
      <c r="D29" s="414" t="s">
        <v>58</v>
      </c>
      <c r="E29" s="415" t="s">
        <v>52</v>
      </c>
      <c r="F29" s="413">
        <v>95.41</v>
      </c>
      <c r="G29" s="416">
        <v>61.02</v>
      </c>
      <c r="H29" s="480">
        <f>'ADITIVO - PLANILHA ORÇAMETARIA '!G29*'ADITIVO - PLANILHA ORÇAMETARIA '!F29</f>
        <v>5821.9182</v>
      </c>
      <c r="I29" s="417">
        <f t="shared" si="1"/>
        <v>7327.46624652</v>
      </c>
      <c r="J29" s="346">
        <v>52.47</v>
      </c>
      <c r="K29" s="347"/>
    </row>
    <row r="30" spans="1:11" s="348" customFormat="1" ht="15.75">
      <c r="A30" s="345"/>
      <c r="B30" s="623" t="s">
        <v>1677</v>
      </c>
      <c r="C30" s="413" t="s">
        <v>60</v>
      </c>
      <c r="D30" s="417" t="s">
        <v>61</v>
      </c>
      <c r="E30" s="418" t="s">
        <v>26</v>
      </c>
      <c r="F30" s="413">
        <v>139.37</v>
      </c>
      <c r="G30" s="416">
        <v>5.98</v>
      </c>
      <c r="H30" s="480">
        <f>'ADITIVO - PLANILHA ORÇAMETARIA '!G30*'ADITIVO - PLANILHA ORÇAMETARIA '!F30</f>
        <v>833.4326000000001</v>
      </c>
      <c r="I30" s="417">
        <f t="shared" si="1"/>
        <v>1048.9582703600001</v>
      </c>
      <c r="J30" s="346">
        <v>5.79</v>
      </c>
      <c r="K30" s="347"/>
    </row>
    <row r="31" spans="1:256" s="357" customFormat="1" ht="15.75">
      <c r="A31" s="353"/>
      <c r="B31" s="623" t="s">
        <v>1678</v>
      </c>
      <c r="C31" s="413" t="s">
        <v>64</v>
      </c>
      <c r="D31" s="417" t="s">
        <v>65</v>
      </c>
      <c r="E31" s="418" t="s">
        <v>52</v>
      </c>
      <c r="F31" s="408">
        <v>139.54</v>
      </c>
      <c r="G31" s="416">
        <v>35.17</v>
      </c>
      <c r="H31" s="480">
        <f>'ADITIVO - PLANILHA ORÇAMETARIA '!G31*'ADITIVO - PLANILHA ORÇAMETARIA '!F31</f>
        <v>4907.6218</v>
      </c>
      <c r="I31" s="417">
        <f t="shared" si="1"/>
        <v>6176.732797479999</v>
      </c>
      <c r="J31" s="354">
        <v>34.61</v>
      </c>
      <c r="K31" s="355"/>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356"/>
      <c r="DC31" s="356"/>
      <c r="DD31" s="356"/>
      <c r="DE31" s="356"/>
      <c r="DF31" s="356"/>
      <c r="DG31" s="356"/>
      <c r="DH31" s="356"/>
      <c r="DI31" s="356"/>
      <c r="DJ31" s="356"/>
      <c r="DK31" s="356"/>
      <c r="DL31" s="356"/>
      <c r="DM31" s="356"/>
      <c r="DN31" s="356"/>
      <c r="DO31" s="356"/>
      <c r="DP31" s="356"/>
      <c r="DQ31" s="356"/>
      <c r="DR31" s="356"/>
      <c r="DS31" s="356"/>
      <c r="DT31" s="356"/>
      <c r="DU31" s="356"/>
      <c r="DV31" s="356"/>
      <c r="DW31" s="356"/>
      <c r="DX31" s="356"/>
      <c r="DY31" s="356"/>
      <c r="DZ31" s="356"/>
      <c r="EA31" s="356"/>
      <c r="EB31" s="356"/>
      <c r="EC31" s="356"/>
      <c r="ED31" s="356"/>
      <c r="EE31" s="356"/>
      <c r="EF31" s="356"/>
      <c r="EG31" s="356"/>
      <c r="EH31" s="356"/>
      <c r="EI31" s="356"/>
      <c r="EJ31" s="356"/>
      <c r="EK31" s="356"/>
      <c r="EL31" s="356"/>
      <c r="EM31" s="356"/>
      <c r="EN31" s="356"/>
      <c r="EO31" s="356"/>
      <c r="EP31" s="356"/>
      <c r="EQ31" s="356"/>
      <c r="ER31" s="356"/>
      <c r="ES31" s="356"/>
      <c r="ET31" s="356"/>
      <c r="EU31" s="356"/>
      <c r="EV31" s="356"/>
      <c r="EW31" s="356"/>
      <c r="EX31" s="356"/>
      <c r="EY31" s="356"/>
      <c r="EZ31" s="356"/>
      <c r="FA31" s="356"/>
      <c r="FB31" s="356"/>
      <c r="FC31" s="356"/>
      <c r="FD31" s="356"/>
      <c r="FE31" s="356"/>
      <c r="FF31" s="356"/>
      <c r="FG31" s="356"/>
      <c r="FH31" s="356"/>
      <c r="FI31" s="356"/>
      <c r="FJ31" s="356"/>
      <c r="FK31" s="356"/>
      <c r="FL31" s="356"/>
      <c r="FM31" s="356"/>
      <c r="FN31" s="356"/>
      <c r="FO31" s="356"/>
      <c r="FP31" s="356"/>
      <c r="FQ31" s="356"/>
      <c r="FR31" s="356"/>
      <c r="FS31" s="356"/>
      <c r="FT31" s="356"/>
      <c r="FU31" s="356"/>
      <c r="FV31" s="356"/>
      <c r="FW31" s="356"/>
      <c r="FX31" s="356"/>
      <c r="FY31" s="356"/>
      <c r="FZ31" s="356"/>
      <c r="GA31" s="356"/>
      <c r="GB31" s="356"/>
      <c r="GC31" s="356"/>
      <c r="GD31" s="356"/>
      <c r="GE31" s="356"/>
      <c r="GF31" s="356"/>
      <c r="GG31" s="356"/>
      <c r="GH31" s="356"/>
      <c r="GI31" s="356"/>
      <c r="GJ31" s="356"/>
      <c r="GK31" s="356"/>
      <c r="GL31" s="356"/>
      <c r="GM31" s="356"/>
      <c r="GN31" s="356"/>
      <c r="GO31" s="356"/>
      <c r="GP31" s="356"/>
      <c r="GQ31" s="356"/>
      <c r="GR31" s="356"/>
      <c r="GS31" s="356"/>
      <c r="GT31" s="356"/>
      <c r="GU31" s="356"/>
      <c r="GV31" s="356"/>
      <c r="GW31" s="356"/>
      <c r="GX31" s="356"/>
      <c r="GY31" s="356"/>
      <c r="GZ31" s="356"/>
      <c r="HA31" s="356"/>
      <c r="HB31" s="356"/>
      <c r="HC31" s="356"/>
      <c r="HD31" s="356"/>
      <c r="HE31" s="356"/>
      <c r="HF31" s="356"/>
      <c r="HG31" s="356"/>
      <c r="HH31" s="356"/>
      <c r="HI31" s="356"/>
      <c r="HJ31" s="356"/>
      <c r="HK31" s="356"/>
      <c r="HL31" s="356"/>
      <c r="HM31" s="356"/>
      <c r="HN31" s="356"/>
      <c r="HO31" s="356"/>
      <c r="HP31" s="356"/>
      <c r="HQ31" s="356"/>
      <c r="HR31" s="356"/>
      <c r="HS31" s="356"/>
      <c r="HT31" s="356"/>
      <c r="HU31" s="356"/>
      <c r="HV31" s="356"/>
      <c r="HW31" s="356"/>
      <c r="HX31" s="356"/>
      <c r="HY31" s="356"/>
      <c r="HZ31" s="356"/>
      <c r="IA31" s="356"/>
      <c r="IB31" s="356"/>
      <c r="IC31" s="356"/>
      <c r="ID31" s="356"/>
      <c r="IE31" s="356"/>
      <c r="IF31" s="356"/>
      <c r="IG31" s="356"/>
      <c r="IH31" s="356"/>
      <c r="II31" s="356"/>
      <c r="IJ31" s="356"/>
      <c r="IK31" s="356"/>
      <c r="IL31" s="356"/>
      <c r="IM31" s="356"/>
      <c r="IN31" s="356"/>
      <c r="IO31" s="356"/>
      <c r="IP31" s="356"/>
      <c r="IQ31" s="356"/>
      <c r="IR31" s="356"/>
      <c r="IS31" s="356"/>
      <c r="IT31" s="356"/>
      <c r="IU31" s="356"/>
      <c r="IV31" s="356"/>
    </row>
    <row r="32" spans="1:256" s="357" customFormat="1" ht="15.75">
      <c r="A32" s="353"/>
      <c r="B32" s="623" t="s">
        <v>1679</v>
      </c>
      <c r="C32" s="413" t="s">
        <v>67</v>
      </c>
      <c r="D32" s="414" t="s">
        <v>68</v>
      </c>
      <c r="E32" s="415" t="s">
        <v>26</v>
      </c>
      <c r="F32" s="413">
        <v>139.37</v>
      </c>
      <c r="G32" s="416">
        <v>6.28</v>
      </c>
      <c r="H32" s="480">
        <f>'ADITIVO - PLANILHA ORÇAMETARIA '!G32*'ADITIVO - PLANILHA ORÇAMETARIA '!F32</f>
        <v>875.2436</v>
      </c>
      <c r="I32" s="417">
        <f t="shared" si="1"/>
        <v>1101.58159496</v>
      </c>
      <c r="J32" s="356">
        <v>6.15</v>
      </c>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356"/>
      <c r="DC32" s="356"/>
      <c r="DD32" s="356"/>
      <c r="DE32" s="356"/>
      <c r="DF32" s="356"/>
      <c r="DG32" s="356"/>
      <c r="DH32" s="356"/>
      <c r="DI32" s="356"/>
      <c r="DJ32" s="356"/>
      <c r="DK32" s="356"/>
      <c r="DL32" s="356"/>
      <c r="DM32" s="356"/>
      <c r="DN32" s="356"/>
      <c r="DO32" s="356"/>
      <c r="DP32" s="356"/>
      <c r="DQ32" s="356"/>
      <c r="DR32" s="356"/>
      <c r="DS32" s="356"/>
      <c r="DT32" s="356"/>
      <c r="DU32" s="356"/>
      <c r="DV32" s="356"/>
      <c r="DW32" s="356"/>
      <c r="DX32" s="356"/>
      <c r="DY32" s="356"/>
      <c r="DZ32" s="356"/>
      <c r="EA32" s="356"/>
      <c r="EB32" s="356"/>
      <c r="EC32" s="356"/>
      <c r="ED32" s="356"/>
      <c r="EE32" s="356"/>
      <c r="EF32" s="356"/>
      <c r="EG32" s="356"/>
      <c r="EH32" s="356"/>
      <c r="EI32" s="356"/>
      <c r="EJ32" s="356"/>
      <c r="EK32" s="356"/>
      <c r="EL32" s="356"/>
      <c r="EM32" s="356"/>
      <c r="EN32" s="356"/>
      <c r="EO32" s="356"/>
      <c r="EP32" s="356"/>
      <c r="EQ32" s="356"/>
      <c r="ER32" s="356"/>
      <c r="ES32" s="356"/>
      <c r="ET32" s="356"/>
      <c r="EU32" s="356"/>
      <c r="EV32" s="356"/>
      <c r="EW32" s="356"/>
      <c r="EX32" s="356"/>
      <c r="EY32" s="356"/>
      <c r="EZ32" s="356"/>
      <c r="FA32" s="356"/>
      <c r="FB32" s="356"/>
      <c r="FC32" s="356"/>
      <c r="FD32" s="356"/>
      <c r="FE32" s="356"/>
      <c r="FF32" s="356"/>
      <c r="FG32" s="356"/>
      <c r="FH32" s="356"/>
      <c r="FI32" s="356"/>
      <c r="FJ32" s="356"/>
      <c r="FK32" s="356"/>
      <c r="FL32" s="356"/>
      <c r="FM32" s="356"/>
      <c r="FN32" s="356"/>
      <c r="FO32" s="356"/>
      <c r="FP32" s="356"/>
      <c r="FQ32" s="356"/>
      <c r="FR32" s="356"/>
      <c r="FS32" s="356"/>
      <c r="FT32" s="356"/>
      <c r="FU32" s="356"/>
      <c r="FV32" s="356"/>
      <c r="FW32" s="356"/>
      <c r="FX32" s="356"/>
      <c r="FY32" s="356"/>
      <c r="FZ32" s="356"/>
      <c r="GA32" s="356"/>
      <c r="GB32" s="356"/>
      <c r="GC32" s="356"/>
      <c r="GD32" s="356"/>
      <c r="GE32" s="356"/>
      <c r="GF32" s="356"/>
      <c r="GG32" s="356"/>
      <c r="GH32" s="356"/>
      <c r="GI32" s="356"/>
      <c r="GJ32" s="356"/>
      <c r="GK32" s="356"/>
      <c r="GL32" s="356"/>
      <c r="GM32" s="356"/>
      <c r="GN32" s="356"/>
      <c r="GO32" s="356"/>
      <c r="GP32" s="356"/>
      <c r="GQ32" s="356"/>
      <c r="GR32" s="356"/>
      <c r="GS32" s="356"/>
      <c r="GT32" s="356"/>
      <c r="GU32" s="356"/>
      <c r="GV32" s="356"/>
      <c r="GW32" s="356"/>
      <c r="GX32" s="356"/>
      <c r="GY32" s="356"/>
      <c r="GZ32" s="356"/>
      <c r="HA32" s="356"/>
      <c r="HB32" s="356"/>
      <c r="HC32" s="356"/>
      <c r="HD32" s="356"/>
      <c r="HE32" s="356"/>
      <c r="HF32" s="356"/>
      <c r="HG32" s="356"/>
      <c r="HH32" s="356"/>
      <c r="HI32" s="356"/>
      <c r="HJ32" s="356"/>
      <c r="HK32" s="356"/>
      <c r="HL32" s="356"/>
      <c r="HM32" s="356"/>
      <c r="HN32" s="356"/>
      <c r="HO32" s="356"/>
      <c r="HP32" s="356"/>
      <c r="HQ32" s="356"/>
      <c r="HR32" s="356"/>
      <c r="HS32" s="356"/>
      <c r="HT32" s="356"/>
      <c r="HU32" s="356"/>
      <c r="HV32" s="356"/>
      <c r="HW32" s="356"/>
      <c r="HX32" s="356"/>
      <c r="HY32" s="356"/>
      <c r="HZ32" s="356"/>
      <c r="IA32" s="356"/>
      <c r="IB32" s="356"/>
      <c r="IC32" s="356"/>
      <c r="ID32" s="356"/>
      <c r="IE32" s="356"/>
      <c r="IF32" s="356"/>
      <c r="IG32" s="356"/>
      <c r="IH32" s="356"/>
      <c r="II32" s="356"/>
      <c r="IJ32" s="356"/>
      <c r="IK32" s="356"/>
      <c r="IL32" s="356"/>
      <c r="IM32" s="356"/>
      <c r="IN32" s="356"/>
      <c r="IO32" s="356"/>
      <c r="IP32" s="356"/>
      <c r="IQ32" s="356"/>
      <c r="IR32" s="356"/>
      <c r="IS32" s="356"/>
      <c r="IT32" s="356"/>
      <c r="IU32" s="356"/>
      <c r="IV32" s="356"/>
    </row>
    <row r="33" spans="1:10" s="257" customFormat="1" ht="15.75">
      <c r="A33" s="256"/>
      <c r="B33" s="623" t="s">
        <v>1680</v>
      </c>
      <c r="C33" s="413" t="s">
        <v>70</v>
      </c>
      <c r="D33" s="414" t="s">
        <v>71</v>
      </c>
      <c r="E33" s="415" t="s">
        <v>26</v>
      </c>
      <c r="F33" s="413">
        <f>3.91+53.43</f>
        <v>57.34</v>
      </c>
      <c r="G33" s="416">
        <v>35.17</v>
      </c>
      <c r="H33" s="480">
        <f>'ADITIVO - PLANILHA ORÇAMETARIA '!G33*'ADITIVO - PLANILHA ORÇAMETARIA '!F33</f>
        <v>2016.6478000000002</v>
      </c>
      <c r="I33" s="417">
        <f t="shared" si="1"/>
        <v>2538.15292108</v>
      </c>
      <c r="J33" s="257">
        <v>34.61</v>
      </c>
    </row>
    <row r="34" spans="1:10" s="257" customFormat="1" ht="15.75">
      <c r="A34" s="256"/>
      <c r="B34" s="623" t="s">
        <v>1681</v>
      </c>
      <c r="C34" s="413" t="s">
        <v>73</v>
      </c>
      <c r="D34" s="414" t="s">
        <v>74</v>
      </c>
      <c r="E34" s="415" t="s">
        <v>18</v>
      </c>
      <c r="F34" s="413">
        <v>2</v>
      </c>
      <c r="G34" s="416">
        <v>3.15</v>
      </c>
      <c r="H34" s="480">
        <f>'ADITIVO - PLANILHA ORÇAMETARIA '!G34*'ADITIVO - PLANILHA ORÇAMETARIA '!F34</f>
        <v>6.3</v>
      </c>
      <c r="I34" s="417">
        <f t="shared" si="1"/>
        <v>7.92918</v>
      </c>
      <c r="J34" s="257">
        <v>3</v>
      </c>
    </row>
    <row r="35" spans="1:11" s="257" customFormat="1" ht="15.75">
      <c r="A35" s="256"/>
      <c r="B35" s="623" t="s">
        <v>1682</v>
      </c>
      <c r="C35" s="413" t="s">
        <v>76</v>
      </c>
      <c r="D35" s="414" t="s">
        <v>77</v>
      </c>
      <c r="E35" s="415" t="s">
        <v>18</v>
      </c>
      <c r="F35" s="413">
        <v>1</v>
      </c>
      <c r="G35" s="416">
        <v>8.23</v>
      </c>
      <c r="H35" s="480">
        <f>'ADITIVO - PLANILHA ORÇAMETARIA '!G35*'ADITIVO - PLANILHA ORÇAMETARIA '!F35</f>
        <v>8.23</v>
      </c>
      <c r="I35" s="417">
        <f t="shared" si="1"/>
        <v>10.358278</v>
      </c>
      <c r="J35" s="258">
        <v>7.96</v>
      </c>
      <c r="K35" s="259"/>
    </row>
    <row r="36" spans="1:11" s="257" customFormat="1" ht="15.75">
      <c r="A36" s="256"/>
      <c r="B36" s="623" t="s">
        <v>1683</v>
      </c>
      <c r="C36" s="413" t="s">
        <v>79</v>
      </c>
      <c r="D36" s="414" t="s">
        <v>80</v>
      </c>
      <c r="E36" s="415" t="s">
        <v>18</v>
      </c>
      <c r="F36" s="413">
        <v>1</v>
      </c>
      <c r="G36" s="416">
        <v>27.53</v>
      </c>
      <c r="H36" s="480">
        <f>'ADITIVO - PLANILHA ORÇAMETARIA '!G36*'ADITIVO - PLANILHA ORÇAMETARIA '!F36</f>
        <v>27.53</v>
      </c>
      <c r="I36" s="417">
        <f t="shared" si="1"/>
        <v>34.649258</v>
      </c>
      <c r="J36" s="258">
        <v>26.65</v>
      </c>
      <c r="K36" s="259"/>
    </row>
    <row r="37" spans="1:256" s="357" customFormat="1" ht="15.75">
      <c r="A37" s="353"/>
      <c r="B37" s="623" t="s">
        <v>1684</v>
      </c>
      <c r="C37" s="413" t="s">
        <v>82</v>
      </c>
      <c r="D37" s="414" t="s">
        <v>83</v>
      </c>
      <c r="E37" s="415" t="s">
        <v>18</v>
      </c>
      <c r="F37" s="413">
        <v>4</v>
      </c>
      <c r="G37" s="416">
        <v>13.75</v>
      </c>
      <c r="H37" s="480">
        <f>'ADITIVO - PLANILHA ORÇAMETARIA '!G37*'ADITIVO - PLANILHA ORÇAMETARIA '!F37</f>
        <v>55</v>
      </c>
      <c r="I37" s="417">
        <f t="shared" si="1"/>
        <v>69.223</v>
      </c>
      <c r="J37" s="354">
        <v>13.31</v>
      </c>
      <c r="K37" s="355"/>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356"/>
      <c r="DC37" s="356"/>
      <c r="DD37" s="356"/>
      <c r="DE37" s="356"/>
      <c r="DF37" s="356"/>
      <c r="DG37" s="356"/>
      <c r="DH37" s="356"/>
      <c r="DI37" s="356"/>
      <c r="DJ37" s="356"/>
      <c r="DK37" s="356"/>
      <c r="DL37" s="356"/>
      <c r="DM37" s="356"/>
      <c r="DN37" s="356"/>
      <c r="DO37" s="356"/>
      <c r="DP37" s="356"/>
      <c r="DQ37" s="356"/>
      <c r="DR37" s="356"/>
      <c r="DS37" s="356"/>
      <c r="DT37" s="356"/>
      <c r="DU37" s="356"/>
      <c r="DV37" s="356"/>
      <c r="DW37" s="356"/>
      <c r="DX37" s="356"/>
      <c r="DY37" s="356"/>
      <c r="DZ37" s="356"/>
      <c r="EA37" s="356"/>
      <c r="EB37" s="356"/>
      <c r="EC37" s="356"/>
      <c r="ED37" s="356"/>
      <c r="EE37" s="356"/>
      <c r="EF37" s="356"/>
      <c r="EG37" s="356"/>
      <c r="EH37" s="356"/>
      <c r="EI37" s="356"/>
      <c r="EJ37" s="356"/>
      <c r="EK37" s="356"/>
      <c r="EL37" s="356"/>
      <c r="EM37" s="356"/>
      <c r="EN37" s="356"/>
      <c r="EO37" s="356"/>
      <c r="EP37" s="356"/>
      <c r="EQ37" s="356"/>
      <c r="ER37" s="356"/>
      <c r="ES37" s="356"/>
      <c r="ET37" s="356"/>
      <c r="EU37" s="356"/>
      <c r="EV37" s="356"/>
      <c r="EW37" s="356"/>
      <c r="EX37" s="356"/>
      <c r="EY37" s="356"/>
      <c r="EZ37" s="356"/>
      <c r="FA37" s="356"/>
      <c r="FB37" s="356"/>
      <c r="FC37" s="356"/>
      <c r="FD37" s="356"/>
      <c r="FE37" s="356"/>
      <c r="FF37" s="356"/>
      <c r="FG37" s="356"/>
      <c r="FH37" s="356"/>
      <c r="FI37" s="356"/>
      <c r="FJ37" s="356"/>
      <c r="FK37" s="356"/>
      <c r="FL37" s="356"/>
      <c r="FM37" s="356"/>
      <c r="FN37" s="356"/>
      <c r="FO37" s="356"/>
      <c r="FP37" s="356"/>
      <c r="FQ37" s="356"/>
      <c r="FR37" s="356"/>
      <c r="FS37" s="356"/>
      <c r="FT37" s="356"/>
      <c r="FU37" s="356"/>
      <c r="FV37" s="356"/>
      <c r="FW37" s="356"/>
      <c r="FX37" s="356"/>
      <c r="FY37" s="356"/>
      <c r="FZ37" s="356"/>
      <c r="GA37" s="356"/>
      <c r="GB37" s="356"/>
      <c r="GC37" s="356"/>
      <c r="GD37" s="356"/>
      <c r="GE37" s="356"/>
      <c r="GF37" s="356"/>
      <c r="GG37" s="356"/>
      <c r="GH37" s="356"/>
      <c r="GI37" s="356"/>
      <c r="GJ37" s="356"/>
      <c r="GK37" s="356"/>
      <c r="GL37" s="356"/>
      <c r="GM37" s="356"/>
      <c r="GN37" s="356"/>
      <c r="GO37" s="356"/>
      <c r="GP37" s="356"/>
      <c r="GQ37" s="356"/>
      <c r="GR37" s="356"/>
      <c r="GS37" s="356"/>
      <c r="GT37" s="356"/>
      <c r="GU37" s="356"/>
      <c r="GV37" s="356"/>
      <c r="GW37" s="356"/>
      <c r="GX37" s="356"/>
      <c r="GY37" s="356"/>
      <c r="GZ37" s="356"/>
      <c r="HA37" s="356"/>
      <c r="HB37" s="356"/>
      <c r="HC37" s="356"/>
      <c r="HD37" s="356"/>
      <c r="HE37" s="356"/>
      <c r="HF37" s="356"/>
      <c r="HG37" s="356"/>
      <c r="HH37" s="356"/>
      <c r="HI37" s="356"/>
      <c r="HJ37" s="356"/>
      <c r="HK37" s="356"/>
      <c r="HL37" s="356"/>
      <c r="HM37" s="356"/>
      <c r="HN37" s="356"/>
      <c r="HO37" s="356"/>
      <c r="HP37" s="356"/>
      <c r="HQ37" s="356"/>
      <c r="HR37" s="356"/>
      <c r="HS37" s="356"/>
      <c r="HT37" s="356"/>
      <c r="HU37" s="356"/>
      <c r="HV37" s="356"/>
      <c r="HW37" s="356"/>
      <c r="HX37" s="356"/>
      <c r="HY37" s="356"/>
      <c r="HZ37" s="356"/>
      <c r="IA37" s="356"/>
      <c r="IB37" s="356"/>
      <c r="IC37" s="356"/>
      <c r="ID37" s="356"/>
      <c r="IE37" s="356"/>
      <c r="IF37" s="356"/>
      <c r="IG37" s="356"/>
      <c r="IH37" s="356"/>
      <c r="II37" s="356"/>
      <c r="IJ37" s="356"/>
      <c r="IK37" s="356"/>
      <c r="IL37" s="356"/>
      <c r="IM37" s="356"/>
      <c r="IN37" s="356"/>
      <c r="IO37" s="356"/>
      <c r="IP37" s="356"/>
      <c r="IQ37" s="356"/>
      <c r="IR37" s="356"/>
      <c r="IS37" s="356"/>
      <c r="IT37" s="356"/>
      <c r="IU37" s="356"/>
      <c r="IV37" s="356"/>
    </row>
    <row r="38" spans="1:11" s="257" customFormat="1" ht="15.75">
      <c r="A38" s="256"/>
      <c r="B38" s="623" t="s">
        <v>1685</v>
      </c>
      <c r="C38" s="413" t="s">
        <v>85</v>
      </c>
      <c r="D38" s="419" t="s">
        <v>86</v>
      </c>
      <c r="E38" s="415" t="s">
        <v>18</v>
      </c>
      <c r="F38" s="413">
        <v>6</v>
      </c>
      <c r="G38" s="416">
        <v>122.62</v>
      </c>
      <c r="H38" s="480">
        <f>'ADITIVO - PLANILHA ORÇAMETARIA '!G38*'ADITIVO - PLANILHA ORÇAMETARIA '!F38</f>
        <v>735.72</v>
      </c>
      <c r="I38" s="417">
        <f t="shared" si="1"/>
        <v>925.977192</v>
      </c>
      <c r="J38" s="258">
        <v>121.91</v>
      </c>
      <c r="K38" s="259"/>
    </row>
    <row r="39" spans="1:256" s="357" customFormat="1" ht="16.5" thickBot="1">
      <c r="A39" s="353"/>
      <c r="B39" s="623" t="s">
        <v>1686</v>
      </c>
      <c r="C39" s="508" t="s">
        <v>88</v>
      </c>
      <c r="D39" s="420" t="s">
        <v>89</v>
      </c>
      <c r="E39" s="421" t="s">
        <v>52</v>
      </c>
      <c r="F39" s="408">
        <v>191.59</v>
      </c>
      <c r="G39" s="594">
        <v>15.44</v>
      </c>
      <c r="H39" s="481">
        <f>'ADITIVO - PLANILHA ORÇAMETARIA '!G39*'ADITIVO - PLANILHA ORÇAMETARIA '!F39</f>
        <v>2958.1495999999997</v>
      </c>
      <c r="I39" s="620">
        <f t="shared" si="1"/>
        <v>3723.1270865599995</v>
      </c>
      <c r="J39" s="354">
        <v>18.04</v>
      </c>
      <c r="K39" s="355"/>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6"/>
      <c r="CY39" s="356"/>
      <c r="CZ39" s="356"/>
      <c r="DA39" s="356"/>
      <c r="DB39" s="356"/>
      <c r="DC39" s="356"/>
      <c r="DD39" s="356"/>
      <c r="DE39" s="356"/>
      <c r="DF39" s="356"/>
      <c r="DG39" s="356"/>
      <c r="DH39" s="356"/>
      <c r="DI39" s="356"/>
      <c r="DJ39" s="356"/>
      <c r="DK39" s="356"/>
      <c r="DL39" s="356"/>
      <c r="DM39" s="356"/>
      <c r="DN39" s="356"/>
      <c r="DO39" s="356"/>
      <c r="DP39" s="356"/>
      <c r="DQ39" s="356"/>
      <c r="DR39" s="356"/>
      <c r="DS39" s="356"/>
      <c r="DT39" s="356"/>
      <c r="DU39" s="356"/>
      <c r="DV39" s="356"/>
      <c r="DW39" s="356"/>
      <c r="DX39" s="356"/>
      <c r="DY39" s="356"/>
      <c r="DZ39" s="356"/>
      <c r="EA39" s="356"/>
      <c r="EB39" s="356"/>
      <c r="EC39" s="356"/>
      <c r="ED39" s="356"/>
      <c r="EE39" s="356"/>
      <c r="EF39" s="356"/>
      <c r="EG39" s="356"/>
      <c r="EH39" s="356"/>
      <c r="EI39" s="356"/>
      <c r="EJ39" s="356"/>
      <c r="EK39" s="356"/>
      <c r="EL39" s="356"/>
      <c r="EM39" s="356"/>
      <c r="EN39" s="356"/>
      <c r="EO39" s="356"/>
      <c r="EP39" s="356"/>
      <c r="EQ39" s="356"/>
      <c r="ER39" s="356"/>
      <c r="ES39" s="356"/>
      <c r="ET39" s="356"/>
      <c r="EU39" s="356"/>
      <c r="EV39" s="356"/>
      <c r="EW39" s="356"/>
      <c r="EX39" s="356"/>
      <c r="EY39" s="356"/>
      <c r="EZ39" s="356"/>
      <c r="FA39" s="356"/>
      <c r="FB39" s="356"/>
      <c r="FC39" s="356"/>
      <c r="FD39" s="356"/>
      <c r="FE39" s="356"/>
      <c r="FF39" s="356"/>
      <c r="FG39" s="356"/>
      <c r="FH39" s="356"/>
      <c r="FI39" s="356"/>
      <c r="FJ39" s="356"/>
      <c r="FK39" s="356"/>
      <c r="FL39" s="356"/>
      <c r="FM39" s="356"/>
      <c r="FN39" s="356"/>
      <c r="FO39" s="356"/>
      <c r="FP39" s="356"/>
      <c r="FQ39" s="356"/>
      <c r="FR39" s="356"/>
      <c r="FS39" s="356"/>
      <c r="FT39" s="356"/>
      <c r="FU39" s="356"/>
      <c r="FV39" s="356"/>
      <c r="FW39" s="356"/>
      <c r="FX39" s="356"/>
      <c r="FY39" s="356"/>
      <c r="FZ39" s="356"/>
      <c r="GA39" s="356"/>
      <c r="GB39" s="356"/>
      <c r="GC39" s="356"/>
      <c r="GD39" s="356"/>
      <c r="GE39" s="356"/>
      <c r="GF39" s="356"/>
      <c r="GG39" s="356"/>
      <c r="GH39" s="356"/>
      <c r="GI39" s="356"/>
      <c r="GJ39" s="356"/>
      <c r="GK39" s="356"/>
      <c r="GL39" s="356"/>
      <c r="GM39" s="356"/>
      <c r="GN39" s="356"/>
      <c r="GO39" s="356"/>
      <c r="GP39" s="356"/>
      <c r="GQ39" s="356"/>
      <c r="GR39" s="356"/>
      <c r="GS39" s="356"/>
      <c r="GT39" s="356"/>
      <c r="GU39" s="356"/>
      <c r="GV39" s="356"/>
      <c r="GW39" s="356"/>
      <c r="GX39" s="356"/>
      <c r="GY39" s="356"/>
      <c r="GZ39" s="356"/>
      <c r="HA39" s="356"/>
      <c r="HB39" s="356"/>
      <c r="HC39" s="356"/>
      <c r="HD39" s="356"/>
      <c r="HE39" s="356"/>
      <c r="HF39" s="356"/>
      <c r="HG39" s="356"/>
      <c r="HH39" s="356"/>
      <c r="HI39" s="356"/>
      <c r="HJ39" s="356"/>
      <c r="HK39" s="356"/>
      <c r="HL39" s="356"/>
      <c r="HM39" s="356"/>
      <c r="HN39" s="356"/>
      <c r="HO39" s="356"/>
      <c r="HP39" s="356"/>
      <c r="HQ39" s="356"/>
      <c r="HR39" s="356"/>
      <c r="HS39" s="356"/>
      <c r="HT39" s="356"/>
      <c r="HU39" s="356"/>
      <c r="HV39" s="356"/>
      <c r="HW39" s="356"/>
      <c r="HX39" s="356"/>
      <c r="HY39" s="356"/>
      <c r="HZ39" s="356"/>
      <c r="IA39" s="356"/>
      <c r="IB39" s="356"/>
      <c r="IC39" s="356"/>
      <c r="ID39" s="356"/>
      <c r="IE39" s="356"/>
      <c r="IF39" s="356"/>
      <c r="IG39" s="356"/>
      <c r="IH39" s="356"/>
      <c r="II39" s="356"/>
      <c r="IJ39" s="356"/>
      <c r="IK39" s="356"/>
      <c r="IL39" s="356"/>
      <c r="IM39" s="356"/>
      <c r="IN39" s="356"/>
      <c r="IO39" s="356"/>
      <c r="IP39" s="356"/>
      <c r="IQ39" s="356"/>
      <c r="IR39" s="356"/>
      <c r="IS39" s="356"/>
      <c r="IT39" s="356"/>
      <c r="IU39" s="356"/>
      <c r="IV39" s="356"/>
    </row>
    <row r="40" spans="1:11" ht="21" customHeight="1" thickBot="1">
      <c r="A40" s="213"/>
      <c r="B40" s="613"/>
      <c r="C40" s="225"/>
      <c r="D40" s="225"/>
      <c r="E40" s="226"/>
      <c r="F40" s="225"/>
      <c r="G40" s="227"/>
      <c r="H40" s="478"/>
      <c r="I40" s="624"/>
      <c r="J40" s="207"/>
      <c r="K40" s="208"/>
    </row>
    <row r="41" spans="1:11" s="268" customFormat="1" ht="15.75" customHeight="1">
      <c r="A41" s="260"/>
      <c r="B41" s="625" t="s">
        <v>90</v>
      </c>
      <c r="C41" s="261"/>
      <c r="D41" s="262" t="s">
        <v>91</v>
      </c>
      <c r="E41" s="263"/>
      <c r="F41" s="264"/>
      <c r="G41" s="265"/>
      <c r="H41" s="476">
        <f>ROUND(SUM(H42:H47),2)</f>
        <v>977.01</v>
      </c>
      <c r="I41" s="616">
        <f t="shared" si="1"/>
        <v>1229.6647859999998</v>
      </c>
      <c r="J41" s="266"/>
      <c r="K41" s="267"/>
    </row>
    <row r="42" spans="1:256" s="357" customFormat="1" ht="25.5" customHeight="1">
      <c r="A42" s="353"/>
      <c r="B42" s="626" t="s">
        <v>92</v>
      </c>
      <c r="C42" s="409" t="s">
        <v>93</v>
      </c>
      <c r="D42" s="409" t="s">
        <v>94</v>
      </c>
      <c r="E42" s="410" t="s">
        <v>95</v>
      </c>
      <c r="F42" s="411">
        <v>11</v>
      </c>
      <c r="G42" s="412">
        <v>6.29</v>
      </c>
      <c r="H42" s="482">
        <f>G42*F42</f>
        <v>69.19</v>
      </c>
      <c r="I42" s="627">
        <f t="shared" si="1"/>
        <v>87.082534</v>
      </c>
      <c r="J42" s="354">
        <v>7.75</v>
      </c>
      <c r="K42" s="355"/>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6"/>
      <c r="CB42" s="356"/>
      <c r="CC42" s="356"/>
      <c r="CD42" s="356"/>
      <c r="CE42" s="356"/>
      <c r="CF42" s="356"/>
      <c r="CG42" s="356"/>
      <c r="CH42" s="356"/>
      <c r="CI42" s="356"/>
      <c r="CJ42" s="356"/>
      <c r="CK42" s="356"/>
      <c r="CL42" s="356"/>
      <c r="CM42" s="356"/>
      <c r="CN42" s="356"/>
      <c r="CO42" s="356"/>
      <c r="CP42" s="356"/>
      <c r="CQ42" s="356"/>
      <c r="CR42" s="356"/>
      <c r="CS42" s="356"/>
      <c r="CT42" s="356"/>
      <c r="CU42" s="356"/>
      <c r="CV42" s="356"/>
      <c r="CW42" s="356"/>
      <c r="CX42" s="356"/>
      <c r="CY42" s="356"/>
      <c r="CZ42" s="356"/>
      <c r="DA42" s="356"/>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356"/>
      <c r="DZ42" s="356"/>
      <c r="EA42" s="356"/>
      <c r="EB42" s="356"/>
      <c r="EC42" s="356"/>
      <c r="ED42" s="356"/>
      <c r="EE42" s="356"/>
      <c r="EF42" s="356"/>
      <c r="EG42" s="356"/>
      <c r="EH42" s="356"/>
      <c r="EI42" s="356"/>
      <c r="EJ42" s="356"/>
      <c r="EK42" s="356"/>
      <c r="EL42" s="356"/>
      <c r="EM42" s="356"/>
      <c r="EN42" s="356"/>
      <c r="EO42" s="356"/>
      <c r="EP42" s="356"/>
      <c r="EQ42" s="356"/>
      <c r="ER42" s="356"/>
      <c r="ES42" s="356"/>
      <c r="ET42" s="356"/>
      <c r="EU42" s="356"/>
      <c r="EV42" s="356"/>
      <c r="EW42" s="356"/>
      <c r="EX42" s="356"/>
      <c r="EY42" s="356"/>
      <c r="EZ42" s="356"/>
      <c r="FA42" s="356"/>
      <c r="FB42" s="356"/>
      <c r="FC42" s="356"/>
      <c r="FD42" s="356"/>
      <c r="FE42" s="356"/>
      <c r="FF42" s="356"/>
      <c r="FG42" s="356"/>
      <c r="FH42" s="356"/>
      <c r="FI42" s="356"/>
      <c r="FJ42" s="356"/>
      <c r="FK42" s="356"/>
      <c r="FL42" s="356"/>
      <c r="FM42" s="356"/>
      <c r="FN42" s="356"/>
      <c r="FO42" s="356"/>
      <c r="FP42" s="356"/>
      <c r="FQ42" s="356"/>
      <c r="FR42" s="356"/>
      <c r="FS42" s="356"/>
      <c r="FT42" s="356"/>
      <c r="FU42" s="356"/>
      <c r="FV42" s="356"/>
      <c r="FW42" s="356"/>
      <c r="FX42" s="356"/>
      <c r="FY42" s="356"/>
      <c r="FZ42" s="356"/>
      <c r="GA42" s="356"/>
      <c r="GB42" s="356"/>
      <c r="GC42" s="356"/>
      <c r="GD42" s="356"/>
      <c r="GE42" s="356"/>
      <c r="GF42" s="356"/>
      <c r="GG42" s="356"/>
      <c r="GH42" s="356"/>
      <c r="GI42" s="356"/>
      <c r="GJ42" s="356"/>
      <c r="GK42" s="356"/>
      <c r="GL42" s="356"/>
      <c r="GM42" s="356"/>
      <c r="GN42" s="356"/>
      <c r="GO42" s="356"/>
      <c r="GP42" s="356"/>
      <c r="GQ42" s="356"/>
      <c r="GR42" s="356"/>
      <c r="GS42" s="356"/>
      <c r="GT42" s="356"/>
      <c r="GU42" s="356"/>
      <c r="GV42" s="356"/>
      <c r="GW42" s="356"/>
      <c r="GX42" s="356"/>
      <c r="GY42" s="356"/>
      <c r="GZ42" s="356"/>
      <c r="HA42" s="356"/>
      <c r="HB42" s="356"/>
      <c r="HC42" s="356"/>
      <c r="HD42" s="356"/>
      <c r="HE42" s="356"/>
      <c r="HF42" s="356"/>
      <c r="HG42" s="356"/>
      <c r="HH42" s="356"/>
      <c r="HI42" s="356"/>
      <c r="HJ42" s="356"/>
      <c r="HK42" s="356"/>
      <c r="HL42" s="356"/>
      <c r="HM42" s="356"/>
      <c r="HN42" s="356"/>
      <c r="HO42" s="356"/>
      <c r="HP42" s="356"/>
      <c r="HQ42" s="356"/>
      <c r="HR42" s="356"/>
      <c r="HS42" s="356"/>
      <c r="HT42" s="356"/>
      <c r="HU42" s="356"/>
      <c r="HV42" s="356"/>
      <c r="HW42" s="356"/>
      <c r="HX42" s="356"/>
      <c r="HY42" s="356"/>
      <c r="HZ42" s="356"/>
      <c r="IA42" s="356"/>
      <c r="IB42" s="356"/>
      <c r="IC42" s="356"/>
      <c r="ID42" s="356"/>
      <c r="IE42" s="356"/>
      <c r="IF42" s="356"/>
      <c r="IG42" s="356"/>
      <c r="IH42" s="356"/>
      <c r="II42" s="356"/>
      <c r="IJ42" s="356"/>
      <c r="IK42" s="356"/>
      <c r="IL42" s="356"/>
      <c r="IM42" s="356"/>
      <c r="IN42" s="356"/>
      <c r="IO42" s="356"/>
      <c r="IP42" s="356"/>
      <c r="IQ42" s="356"/>
      <c r="IR42" s="356"/>
      <c r="IS42" s="356"/>
      <c r="IT42" s="356"/>
      <c r="IU42" s="356"/>
      <c r="IV42" s="356"/>
    </row>
    <row r="43" spans="1:256" s="357" customFormat="1" ht="25.5">
      <c r="A43" s="353"/>
      <c r="B43" s="626" t="s">
        <v>96</v>
      </c>
      <c r="C43" s="409" t="s">
        <v>97</v>
      </c>
      <c r="D43" s="409" t="s">
        <v>98</v>
      </c>
      <c r="E43" s="410" t="s">
        <v>52</v>
      </c>
      <c r="F43" s="411">
        <v>1.08</v>
      </c>
      <c r="G43" s="412">
        <v>302.4</v>
      </c>
      <c r="H43" s="482">
        <f>G43*F43</f>
        <v>326.592</v>
      </c>
      <c r="I43" s="627">
        <f t="shared" si="1"/>
        <v>411.04869119999995</v>
      </c>
      <c r="J43" s="354">
        <v>324.39</v>
      </c>
      <c r="K43" s="355"/>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c r="BZ43" s="356"/>
      <c r="CA43" s="356"/>
      <c r="CB43" s="356"/>
      <c r="CC43" s="356"/>
      <c r="CD43" s="356"/>
      <c r="CE43" s="356"/>
      <c r="CF43" s="356"/>
      <c r="CG43" s="356"/>
      <c r="CH43" s="356"/>
      <c r="CI43" s="356"/>
      <c r="CJ43" s="356"/>
      <c r="CK43" s="356"/>
      <c r="CL43" s="356"/>
      <c r="CM43" s="356"/>
      <c r="CN43" s="356"/>
      <c r="CO43" s="356"/>
      <c r="CP43" s="356"/>
      <c r="CQ43" s="356"/>
      <c r="CR43" s="356"/>
      <c r="CS43" s="356"/>
      <c r="CT43" s="356"/>
      <c r="CU43" s="356"/>
      <c r="CV43" s="356"/>
      <c r="CW43" s="356"/>
      <c r="CX43" s="356"/>
      <c r="CY43" s="356"/>
      <c r="CZ43" s="356"/>
      <c r="DA43" s="356"/>
      <c r="DB43" s="356"/>
      <c r="DC43" s="356"/>
      <c r="DD43" s="356"/>
      <c r="DE43" s="356"/>
      <c r="DF43" s="356"/>
      <c r="DG43" s="356"/>
      <c r="DH43" s="356"/>
      <c r="DI43" s="356"/>
      <c r="DJ43" s="356"/>
      <c r="DK43" s="356"/>
      <c r="DL43" s="356"/>
      <c r="DM43" s="356"/>
      <c r="DN43" s="356"/>
      <c r="DO43" s="356"/>
      <c r="DP43" s="356"/>
      <c r="DQ43" s="356"/>
      <c r="DR43" s="356"/>
      <c r="DS43" s="356"/>
      <c r="DT43" s="356"/>
      <c r="DU43" s="356"/>
      <c r="DV43" s="356"/>
      <c r="DW43" s="356"/>
      <c r="DX43" s="356"/>
      <c r="DY43" s="356"/>
      <c r="DZ43" s="356"/>
      <c r="EA43" s="356"/>
      <c r="EB43" s="356"/>
      <c r="EC43" s="356"/>
      <c r="ED43" s="356"/>
      <c r="EE43" s="356"/>
      <c r="EF43" s="356"/>
      <c r="EG43" s="356"/>
      <c r="EH43" s="356"/>
      <c r="EI43" s="356"/>
      <c r="EJ43" s="356"/>
      <c r="EK43" s="356"/>
      <c r="EL43" s="356"/>
      <c r="EM43" s="356"/>
      <c r="EN43" s="356"/>
      <c r="EO43" s="356"/>
      <c r="EP43" s="356"/>
      <c r="EQ43" s="356"/>
      <c r="ER43" s="356"/>
      <c r="ES43" s="356"/>
      <c r="ET43" s="356"/>
      <c r="EU43" s="356"/>
      <c r="EV43" s="356"/>
      <c r="EW43" s="356"/>
      <c r="EX43" s="356"/>
      <c r="EY43" s="356"/>
      <c r="EZ43" s="356"/>
      <c r="FA43" s="356"/>
      <c r="FB43" s="356"/>
      <c r="FC43" s="356"/>
      <c r="FD43" s="356"/>
      <c r="FE43" s="356"/>
      <c r="FF43" s="356"/>
      <c r="FG43" s="356"/>
      <c r="FH43" s="356"/>
      <c r="FI43" s="356"/>
      <c r="FJ43" s="356"/>
      <c r="FK43" s="356"/>
      <c r="FL43" s="356"/>
      <c r="FM43" s="356"/>
      <c r="FN43" s="356"/>
      <c r="FO43" s="356"/>
      <c r="FP43" s="356"/>
      <c r="FQ43" s="356"/>
      <c r="FR43" s="356"/>
      <c r="FS43" s="356"/>
      <c r="FT43" s="356"/>
      <c r="FU43" s="356"/>
      <c r="FV43" s="356"/>
      <c r="FW43" s="356"/>
      <c r="FX43" s="356"/>
      <c r="FY43" s="356"/>
      <c r="FZ43" s="356"/>
      <c r="GA43" s="356"/>
      <c r="GB43" s="356"/>
      <c r="GC43" s="356"/>
      <c r="GD43" s="356"/>
      <c r="GE43" s="356"/>
      <c r="GF43" s="356"/>
      <c r="GG43" s="356"/>
      <c r="GH43" s="356"/>
      <c r="GI43" s="356"/>
      <c r="GJ43" s="356"/>
      <c r="GK43" s="356"/>
      <c r="GL43" s="356"/>
      <c r="GM43" s="356"/>
      <c r="GN43" s="356"/>
      <c r="GO43" s="356"/>
      <c r="GP43" s="356"/>
      <c r="GQ43" s="356"/>
      <c r="GR43" s="356"/>
      <c r="GS43" s="356"/>
      <c r="GT43" s="356"/>
      <c r="GU43" s="356"/>
      <c r="GV43" s="356"/>
      <c r="GW43" s="356"/>
      <c r="GX43" s="356"/>
      <c r="GY43" s="356"/>
      <c r="GZ43" s="356"/>
      <c r="HA43" s="356"/>
      <c r="HB43" s="356"/>
      <c r="HC43" s="356"/>
      <c r="HD43" s="356"/>
      <c r="HE43" s="356"/>
      <c r="HF43" s="356"/>
      <c r="HG43" s="356"/>
      <c r="HH43" s="356"/>
      <c r="HI43" s="356"/>
      <c r="HJ43" s="356"/>
      <c r="HK43" s="356"/>
      <c r="HL43" s="356"/>
      <c r="HM43" s="356"/>
      <c r="HN43" s="356"/>
      <c r="HO43" s="356"/>
      <c r="HP43" s="356"/>
      <c r="HQ43" s="356"/>
      <c r="HR43" s="356"/>
      <c r="HS43" s="356"/>
      <c r="HT43" s="356"/>
      <c r="HU43" s="356"/>
      <c r="HV43" s="356"/>
      <c r="HW43" s="356"/>
      <c r="HX43" s="356"/>
      <c r="HY43" s="356"/>
      <c r="HZ43" s="356"/>
      <c r="IA43" s="356"/>
      <c r="IB43" s="356"/>
      <c r="IC43" s="356"/>
      <c r="ID43" s="356"/>
      <c r="IE43" s="356"/>
      <c r="IF43" s="356"/>
      <c r="IG43" s="356"/>
      <c r="IH43" s="356"/>
      <c r="II43" s="356"/>
      <c r="IJ43" s="356"/>
      <c r="IK43" s="356"/>
      <c r="IL43" s="356"/>
      <c r="IM43" s="356"/>
      <c r="IN43" s="356"/>
      <c r="IO43" s="356"/>
      <c r="IP43" s="356"/>
      <c r="IQ43" s="356"/>
      <c r="IR43" s="356"/>
      <c r="IS43" s="356"/>
      <c r="IT43" s="356"/>
      <c r="IU43" s="356"/>
      <c r="IV43" s="356"/>
    </row>
    <row r="44" spans="1:256" s="357" customFormat="1" ht="15.75">
      <c r="A44" s="353"/>
      <c r="B44" s="626" t="s">
        <v>99</v>
      </c>
      <c r="C44" s="409" t="s">
        <v>100</v>
      </c>
      <c r="D44" s="409" t="s">
        <v>101</v>
      </c>
      <c r="E44" s="410" t="s">
        <v>52</v>
      </c>
      <c r="F44" s="411">
        <v>1.08</v>
      </c>
      <c r="G44" s="412">
        <v>123.89</v>
      </c>
      <c r="H44" s="482">
        <f>G44*F44</f>
        <v>133.80120000000002</v>
      </c>
      <c r="I44" s="627">
        <f t="shared" si="1"/>
        <v>168.40219032000002</v>
      </c>
      <c r="J44" s="354">
        <v>140.1</v>
      </c>
      <c r="K44" s="355"/>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c r="BZ44" s="356"/>
      <c r="CA44" s="356"/>
      <c r="CB44" s="356"/>
      <c r="CC44" s="356"/>
      <c r="CD44" s="356"/>
      <c r="CE44" s="356"/>
      <c r="CF44" s="356"/>
      <c r="CG44" s="356"/>
      <c r="CH44" s="356"/>
      <c r="CI44" s="356"/>
      <c r="CJ44" s="356"/>
      <c r="CK44" s="356"/>
      <c r="CL44" s="356"/>
      <c r="CM44" s="356"/>
      <c r="CN44" s="356"/>
      <c r="CO44" s="356"/>
      <c r="CP44" s="356"/>
      <c r="CQ44" s="356"/>
      <c r="CR44" s="356"/>
      <c r="CS44" s="356"/>
      <c r="CT44" s="356"/>
      <c r="CU44" s="356"/>
      <c r="CV44" s="356"/>
      <c r="CW44" s="356"/>
      <c r="CX44" s="356"/>
      <c r="CY44" s="356"/>
      <c r="CZ44" s="356"/>
      <c r="DA44" s="356"/>
      <c r="DB44" s="356"/>
      <c r="DC44" s="356"/>
      <c r="DD44" s="356"/>
      <c r="DE44" s="356"/>
      <c r="DF44" s="356"/>
      <c r="DG44" s="356"/>
      <c r="DH44" s="356"/>
      <c r="DI44" s="356"/>
      <c r="DJ44" s="356"/>
      <c r="DK44" s="356"/>
      <c r="DL44" s="356"/>
      <c r="DM44" s="356"/>
      <c r="DN44" s="356"/>
      <c r="DO44" s="356"/>
      <c r="DP44" s="356"/>
      <c r="DQ44" s="356"/>
      <c r="DR44" s="356"/>
      <c r="DS44" s="356"/>
      <c r="DT44" s="356"/>
      <c r="DU44" s="356"/>
      <c r="DV44" s="356"/>
      <c r="DW44" s="356"/>
      <c r="DX44" s="356"/>
      <c r="DY44" s="356"/>
      <c r="DZ44" s="356"/>
      <c r="EA44" s="356"/>
      <c r="EB44" s="356"/>
      <c r="EC44" s="356"/>
      <c r="ED44" s="356"/>
      <c r="EE44" s="356"/>
      <c r="EF44" s="356"/>
      <c r="EG44" s="356"/>
      <c r="EH44" s="356"/>
      <c r="EI44" s="356"/>
      <c r="EJ44" s="356"/>
      <c r="EK44" s="356"/>
      <c r="EL44" s="356"/>
      <c r="EM44" s="356"/>
      <c r="EN44" s="356"/>
      <c r="EO44" s="356"/>
      <c r="EP44" s="356"/>
      <c r="EQ44" s="356"/>
      <c r="ER44" s="356"/>
      <c r="ES44" s="356"/>
      <c r="ET44" s="356"/>
      <c r="EU44" s="356"/>
      <c r="EV44" s="356"/>
      <c r="EW44" s="356"/>
      <c r="EX44" s="356"/>
      <c r="EY44" s="356"/>
      <c r="EZ44" s="356"/>
      <c r="FA44" s="356"/>
      <c r="FB44" s="356"/>
      <c r="FC44" s="356"/>
      <c r="FD44" s="356"/>
      <c r="FE44" s="356"/>
      <c r="FF44" s="356"/>
      <c r="FG44" s="356"/>
      <c r="FH44" s="356"/>
      <c r="FI44" s="356"/>
      <c r="FJ44" s="356"/>
      <c r="FK44" s="356"/>
      <c r="FL44" s="356"/>
      <c r="FM44" s="356"/>
      <c r="FN44" s="356"/>
      <c r="FO44" s="356"/>
      <c r="FP44" s="356"/>
      <c r="FQ44" s="356"/>
      <c r="FR44" s="356"/>
      <c r="FS44" s="356"/>
      <c r="FT44" s="356"/>
      <c r="FU44" s="356"/>
      <c r="FV44" s="356"/>
      <c r="FW44" s="356"/>
      <c r="FX44" s="356"/>
      <c r="FY44" s="356"/>
      <c r="FZ44" s="356"/>
      <c r="GA44" s="356"/>
      <c r="GB44" s="356"/>
      <c r="GC44" s="356"/>
      <c r="GD44" s="356"/>
      <c r="GE44" s="356"/>
      <c r="GF44" s="356"/>
      <c r="GG44" s="356"/>
      <c r="GH44" s="356"/>
      <c r="GI44" s="356"/>
      <c r="GJ44" s="356"/>
      <c r="GK44" s="356"/>
      <c r="GL44" s="356"/>
      <c r="GM44" s="356"/>
      <c r="GN44" s="356"/>
      <c r="GO44" s="356"/>
      <c r="GP44" s="356"/>
      <c r="GQ44" s="356"/>
      <c r="GR44" s="356"/>
      <c r="GS44" s="356"/>
      <c r="GT44" s="356"/>
      <c r="GU44" s="356"/>
      <c r="GV44" s="356"/>
      <c r="GW44" s="356"/>
      <c r="GX44" s="356"/>
      <c r="GY44" s="356"/>
      <c r="GZ44" s="356"/>
      <c r="HA44" s="356"/>
      <c r="HB44" s="356"/>
      <c r="HC44" s="356"/>
      <c r="HD44" s="356"/>
      <c r="HE44" s="356"/>
      <c r="HF44" s="356"/>
      <c r="HG44" s="356"/>
      <c r="HH44" s="356"/>
      <c r="HI44" s="356"/>
      <c r="HJ44" s="356"/>
      <c r="HK44" s="356"/>
      <c r="HL44" s="356"/>
      <c r="HM44" s="356"/>
      <c r="HN44" s="356"/>
      <c r="HO44" s="356"/>
      <c r="HP44" s="356"/>
      <c r="HQ44" s="356"/>
      <c r="HR44" s="356"/>
      <c r="HS44" s="356"/>
      <c r="HT44" s="356"/>
      <c r="HU44" s="356"/>
      <c r="HV44" s="356"/>
      <c r="HW44" s="356"/>
      <c r="HX44" s="356"/>
      <c r="HY44" s="356"/>
      <c r="HZ44" s="356"/>
      <c r="IA44" s="356"/>
      <c r="IB44" s="356"/>
      <c r="IC44" s="356"/>
      <c r="ID44" s="356"/>
      <c r="IE44" s="356"/>
      <c r="IF44" s="356"/>
      <c r="IG44" s="356"/>
      <c r="IH44" s="356"/>
      <c r="II44" s="356"/>
      <c r="IJ44" s="356"/>
      <c r="IK44" s="356"/>
      <c r="IL44" s="356"/>
      <c r="IM44" s="356"/>
      <c r="IN44" s="356"/>
      <c r="IO44" s="356"/>
      <c r="IP44" s="356"/>
      <c r="IQ44" s="356"/>
      <c r="IR44" s="356"/>
      <c r="IS44" s="356"/>
      <c r="IT44" s="356"/>
      <c r="IU44" s="356"/>
      <c r="IV44" s="356"/>
    </row>
    <row r="45" spans="1:256" s="357" customFormat="1" ht="21" customHeight="1">
      <c r="A45" s="353"/>
      <c r="B45" s="626" t="s">
        <v>102</v>
      </c>
      <c r="C45" s="409" t="s">
        <v>763</v>
      </c>
      <c r="D45" s="409" t="s">
        <v>103</v>
      </c>
      <c r="E45" s="410" t="s">
        <v>26</v>
      </c>
      <c r="F45" s="411">
        <v>4</v>
      </c>
      <c r="G45" s="412">
        <f>COMPOSIÇÕES!F449</f>
        <v>29.146860000000004</v>
      </c>
      <c r="H45" s="482">
        <f>G45*F45</f>
        <v>116.58744000000002</v>
      </c>
      <c r="I45" s="627">
        <f t="shared" si="1"/>
        <v>146.736951984</v>
      </c>
      <c r="J45" s="354">
        <v>27.62</v>
      </c>
      <c r="K45" s="355"/>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c r="CK45" s="356"/>
      <c r="CL45" s="356"/>
      <c r="CM45" s="356"/>
      <c r="CN45" s="356"/>
      <c r="CO45" s="356"/>
      <c r="CP45" s="356"/>
      <c r="CQ45" s="356"/>
      <c r="CR45" s="356"/>
      <c r="CS45" s="356"/>
      <c r="CT45" s="356"/>
      <c r="CU45" s="356"/>
      <c r="CV45" s="356"/>
      <c r="CW45" s="356"/>
      <c r="CX45" s="356"/>
      <c r="CY45" s="356"/>
      <c r="CZ45" s="356"/>
      <c r="DA45" s="356"/>
      <c r="DB45" s="356"/>
      <c r="DC45" s="356"/>
      <c r="DD45" s="356"/>
      <c r="DE45" s="356"/>
      <c r="DF45" s="356"/>
      <c r="DG45" s="356"/>
      <c r="DH45" s="356"/>
      <c r="DI45" s="356"/>
      <c r="DJ45" s="356"/>
      <c r="DK45" s="356"/>
      <c r="DL45" s="356"/>
      <c r="DM45" s="356"/>
      <c r="DN45" s="356"/>
      <c r="DO45" s="356"/>
      <c r="DP45" s="356"/>
      <c r="DQ45" s="356"/>
      <c r="DR45" s="356"/>
      <c r="DS45" s="356"/>
      <c r="DT45" s="356"/>
      <c r="DU45" s="356"/>
      <c r="DV45" s="356"/>
      <c r="DW45" s="356"/>
      <c r="DX45" s="356"/>
      <c r="DY45" s="356"/>
      <c r="DZ45" s="356"/>
      <c r="EA45" s="356"/>
      <c r="EB45" s="356"/>
      <c r="EC45" s="356"/>
      <c r="ED45" s="356"/>
      <c r="EE45" s="356"/>
      <c r="EF45" s="356"/>
      <c r="EG45" s="356"/>
      <c r="EH45" s="356"/>
      <c r="EI45" s="356"/>
      <c r="EJ45" s="356"/>
      <c r="EK45" s="356"/>
      <c r="EL45" s="356"/>
      <c r="EM45" s="356"/>
      <c r="EN45" s="356"/>
      <c r="EO45" s="356"/>
      <c r="EP45" s="356"/>
      <c r="EQ45" s="356"/>
      <c r="ER45" s="356"/>
      <c r="ES45" s="356"/>
      <c r="ET45" s="356"/>
      <c r="EU45" s="356"/>
      <c r="EV45" s="356"/>
      <c r="EW45" s="356"/>
      <c r="EX45" s="356"/>
      <c r="EY45" s="356"/>
      <c r="EZ45" s="356"/>
      <c r="FA45" s="356"/>
      <c r="FB45" s="356"/>
      <c r="FC45" s="356"/>
      <c r="FD45" s="356"/>
      <c r="FE45" s="356"/>
      <c r="FF45" s="356"/>
      <c r="FG45" s="356"/>
      <c r="FH45" s="356"/>
      <c r="FI45" s="356"/>
      <c r="FJ45" s="356"/>
      <c r="FK45" s="356"/>
      <c r="FL45" s="356"/>
      <c r="FM45" s="356"/>
      <c r="FN45" s="356"/>
      <c r="FO45" s="356"/>
      <c r="FP45" s="356"/>
      <c r="FQ45" s="356"/>
      <c r="FR45" s="356"/>
      <c r="FS45" s="356"/>
      <c r="FT45" s="356"/>
      <c r="FU45" s="356"/>
      <c r="FV45" s="356"/>
      <c r="FW45" s="356"/>
      <c r="FX45" s="356"/>
      <c r="FY45" s="356"/>
      <c r="FZ45" s="356"/>
      <c r="GA45" s="356"/>
      <c r="GB45" s="356"/>
      <c r="GC45" s="356"/>
      <c r="GD45" s="356"/>
      <c r="GE45" s="356"/>
      <c r="GF45" s="356"/>
      <c r="GG45" s="356"/>
      <c r="GH45" s="356"/>
      <c r="GI45" s="356"/>
      <c r="GJ45" s="356"/>
      <c r="GK45" s="356"/>
      <c r="GL45" s="356"/>
      <c r="GM45" s="356"/>
      <c r="GN45" s="356"/>
      <c r="GO45" s="356"/>
      <c r="GP45" s="356"/>
      <c r="GQ45" s="356"/>
      <c r="GR45" s="356"/>
      <c r="GS45" s="356"/>
      <c r="GT45" s="356"/>
      <c r="GU45" s="356"/>
      <c r="GV45" s="356"/>
      <c r="GW45" s="356"/>
      <c r="GX45" s="356"/>
      <c r="GY45" s="356"/>
      <c r="GZ45" s="356"/>
      <c r="HA45" s="356"/>
      <c r="HB45" s="356"/>
      <c r="HC45" s="356"/>
      <c r="HD45" s="356"/>
      <c r="HE45" s="356"/>
      <c r="HF45" s="356"/>
      <c r="HG45" s="356"/>
      <c r="HH45" s="356"/>
      <c r="HI45" s="356"/>
      <c r="HJ45" s="356"/>
      <c r="HK45" s="356"/>
      <c r="HL45" s="356"/>
      <c r="HM45" s="356"/>
      <c r="HN45" s="356"/>
      <c r="HO45" s="356"/>
      <c r="HP45" s="356"/>
      <c r="HQ45" s="356"/>
      <c r="HR45" s="356"/>
      <c r="HS45" s="356"/>
      <c r="HT45" s="356"/>
      <c r="HU45" s="356"/>
      <c r="HV45" s="356"/>
      <c r="HW45" s="356"/>
      <c r="HX45" s="356"/>
      <c r="HY45" s="356"/>
      <c r="HZ45" s="356"/>
      <c r="IA45" s="356"/>
      <c r="IB45" s="356"/>
      <c r="IC45" s="356"/>
      <c r="ID45" s="356"/>
      <c r="IE45" s="356"/>
      <c r="IF45" s="356"/>
      <c r="IG45" s="356"/>
      <c r="IH45" s="356"/>
      <c r="II45" s="356"/>
      <c r="IJ45" s="356"/>
      <c r="IK45" s="356"/>
      <c r="IL45" s="356"/>
      <c r="IM45" s="356"/>
      <c r="IN45" s="356"/>
      <c r="IO45" s="356"/>
      <c r="IP45" s="356"/>
      <c r="IQ45" s="356"/>
      <c r="IR45" s="356"/>
      <c r="IS45" s="356"/>
      <c r="IT45" s="356"/>
      <c r="IU45" s="356"/>
      <c r="IV45" s="356"/>
    </row>
    <row r="46" spans="1:256" s="357" customFormat="1" ht="21" customHeight="1" thickBot="1">
      <c r="A46" s="353"/>
      <c r="B46" s="626" t="s">
        <v>104</v>
      </c>
      <c r="C46" s="409" t="s">
        <v>1744</v>
      </c>
      <c r="D46" s="409" t="s">
        <v>105</v>
      </c>
      <c r="E46" s="408" t="s">
        <v>106</v>
      </c>
      <c r="F46" s="408">
        <v>3</v>
      </c>
      <c r="G46" s="408">
        <v>110.28</v>
      </c>
      <c r="H46" s="482">
        <f>G46*F46</f>
        <v>330.84000000000003</v>
      </c>
      <c r="I46" s="628">
        <f t="shared" si="1"/>
        <v>416.39522400000004</v>
      </c>
      <c r="J46" s="354">
        <v>95.66</v>
      </c>
      <c r="K46" s="355"/>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c r="DG46" s="356"/>
      <c r="DH46" s="356"/>
      <c r="DI46" s="356"/>
      <c r="DJ46" s="356"/>
      <c r="DK46" s="356"/>
      <c r="DL46" s="356"/>
      <c r="DM46" s="356"/>
      <c r="DN46" s="356"/>
      <c r="DO46" s="356"/>
      <c r="DP46" s="356"/>
      <c r="DQ46" s="356"/>
      <c r="DR46" s="356"/>
      <c r="DS46" s="356"/>
      <c r="DT46" s="356"/>
      <c r="DU46" s="356"/>
      <c r="DV46" s="356"/>
      <c r="DW46" s="356"/>
      <c r="DX46" s="356"/>
      <c r="DY46" s="356"/>
      <c r="DZ46" s="356"/>
      <c r="EA46" s="356"/>
      <c r="EB46" s="356"/>
      <c r="EC46" s="356"/>
      <c r="ED46" s="356"/>
      <c r="EE46" s="356"/>
      <c r="EF46" s="356"/>
      <c r="EG46" s="356"/>
      <c r="EH46" s="356"/>
      <c r="EI46" s="356"/>
      <c r="EJ46" s="356"/>
      <c r="EK46" s="356"/>
      <c r="EL46" s="356"/>
      <c r="EM46" s="356"/>
      <c r="EN46" s="356"/>
      <c r="EO46" s="356"/>
      <c r="EP46" s="356"/>
      <c r="EQ46" s="356"/>
      <c r="ER46" s="356"/>
      <c r="ES46" s="356"/>
      <c r="ET46" s="356"/>
      <c r="EU46" s="356"/>
      <c r="EV46" s="356"/>
      <c r="EW46" s="356"/>
      <c r="EX46" s="356"/>
      <c r="EY46" s="356"/>
      <c r="EZ46" s="356"/>
      <c r="FA46" s="356"/>
      <c r="FB46" s="356"/>
      <c r="FC46" s="356"/>
      <c r="FD46" s="356"/>
      <c r="FE46" s="356"/>
      <c r="FF46" s="356"/>
      <c r="FG46" s="356"/>
      <c r="FH46" s="356"/>
      <c r="FI46" s="356"/>
      <c r="FJ46" s="356"/>
      <c r="FK46" s="356"/>
      <c r="FL46" s="356"/>
      <c r="FM46" s="356"/>
      <c r="FN46" s="356"/>
      <c r="FO46" s="356"/>
      <c r="FP46" s="356"/>
      <c r="FQ46" s="356"/>
      <c r="FR46" s="356"/>
      <c r="FS46" s="356"/>
      <c r="FT46" s="356"/>
      <c r="FU46" s="356"/>
      <c r="FV46" s="356"/>
      <c r="FW46" s="356"/>
      <c r="FX46" s="356"/>
      <c r="FY46" s="356"/>
      <c r="FZ46" s="356"/>
      <c r="GA46" s="356"/>
      <c r="GB46" s="356"/>
      <c r="GC46" s="356"/>
      <c r="GD46" s="356"/>
      <c r="GE46" s="356"/>
      <c r="GF46" s="356"/>
      <c r="GG46" s="356"/>
      <c r="GH46" s="356"/>
      <c r="GI46" s="356"/>
      <c r="GJ46" s="356"/>
      <c r="GK46" s="356"/>
      <c r="GL46" s="356"/>
      <c r="GM46" s="356"/>
      <c r="GN46" s="356"/>
      <c r="GO46" s="356"/>
      <c r="GP46" s="356"/>
      <c r="GQ46" s="356"/>
      <c r="GR46" s="356"/>
      <c r="GS46" s="356"/>
      <c r="GT46" s="356"/>
      <c r="GU46" s="356"/>
      <c r="GV46" s="356"/>
      <c r="GW46" s="356"/>
      <c r="GX46" s="356"/>
      <c r="GY46" s="356"/>
      <c r="GZ46" s="356"/>
      <c r="HA46" s="356"/>
      <c r="HB46" s="356"/>
      <c r="HC46" s="356"/>
      <c r="HD46" s="356"/>
      <c r="HE46" s="356"/>
      <c r="HF46" s="356"/>
      <c r="HG46" s="356"/>
      <c r="HH46" s="356"/>
      <c r="HI46" s="356"/>
      <c r="HJ46" s="356"/>
      <c r="HK46" s="356"/>
      <c r="HL46" s="356"/>
      <c r="HM46" s="356"/>
      <c r="HN46" s="356"/>
      <c r="HO46" s="356"/>
      <c r="HP46" s="356"/>
      <c r="HQ46" s="356"/>
      <c r="HR46" s="356"/>
      <c r="HS46" s="356"/>
      <c r="HT46" s="356"/>
      <c r="HU46" s="356"/>
      <c r="HV46" s="356"/>
      <c r="HW46" s="356"/>
      <c r="HX46" s="356"/>
      <c r="HY46" s="356"/>
      <c r="HZ46" s="356"/>
      <c r="IA46" s="356"/>
      <c r="IB46" s="356"/>
      <c r="IC46" s="356"/>
      <c r="ID46" s="356"/>
      <c r="IE46" s="356"/>
      <c r="IF46" s="356"/>
      <c r="IG46" s="356"/>
      <c r="IH46" s="356"/>
      <c r="II46" s="356"/>
      <c r="IJ46" s="356"/>
      <c r="IK46" s="356"/>
      <c r="IL46" s="356"/>
      <c r="IM46" s="356"/>
      <c r="IN46" s="356"/>
      <c r="IO46" s="356"/>
      <c r="IP46" s="356"/>
      <c r="IQ46" s="356"/>
      <c r="IR46" s="356"/>
      <c r="IS46" s="356"/>
      <c r="IT46" s="356"/>
      <c r="IU46" s="356"/>
      <c r="IV46" s="356"/>
    </row>
    <row r="47" spans="1:11" ht="21" customHeight="1" thickBot="1">
      <c r="A47" s="213"/>
      <c r="B47" s="613"/>
      <c r="C47" s="225"/>
      <c r="D47" s="225"/>
      <c r="E47" s="226"/>
      <c r="F47" s="225"/>
      <c r="G47" s="227"/>
      <c r="H47" s="478"/>
      <c r="I47" s="624"/>
      <c r="J47" s="207"/>
      <c r="K47" s="208"/>
    </row>
    <row r="48" spans="1:11" s="268" customFormat="1" ht="15.75" customHeight="1">
      <c r="A48" s="260"/>
      <c r="B48" s="625" t="s">
        <v>107</v>
      </c>
      <c r="C48" s="261"/>
      <c r="D48" s="262" t="s">
        <v>108</v>
      </c>
      <c r="E48" s="263"/>
      <c r="F48" s="264"/>
      <c r="G48" s="265"/>
      <c r="H48" s="476">
        <f>ROUND(SUM(H49:H71),2)</f>
        <v>163803.41</v>
      </c>
      <c r="I48" s="616">
        <f t="shared" si="1"/>
        <v>206162.971826</v>
      </c>
      <c r="J48" s="266"/>
      <c r="K48" s="267"/>
    </row>
    <row r="49" spans="1:11" s="361" customFormat="1" ht="15.75" customHeight="1">
      <c r="A49" s="358" t="s">
        <v>109</v>
      </c>
      <c r="B49" s="623" t="s">
        <v>110</v>
      </c>
      <c r="C49" s="413" t="s">
        <v>111</v>
      </c>
      <c r="D49" s="414" t="s">
        <v>112</v>
      </c>
      <c r="E49" s="415" t="s">
        <v>52</v>
      </c>
      <c r="F49" s="413">
        <v>125.16</v>
      </c>
      <c r="G49" s="416">
        <v>6.39</v>
      </c>
      <c r="H49" s="480">
        <f>'ADITIVO - PLANILHA ORÇAMETARIA '!G49*'ADITIVO - PLANILHA ORÇAMETARIA '!F49</f>
        <v>799.7724</v>
      </c>
      <c r="I49" s="417">
        <f t="shared" si="1"/>
        <v>1006.5935426399999</v>
      </c>
      <c r="J49" s="359">
        <v>7.01</v>
      </c>
      <c r="K49" s="360"/>
    </row>
    <row r="50" spans="1:11" s="361" customFormat="1" ht="15.75">
      <c r="A50" s="358"/>
      <c r="B50" s="623" t="s">
        <v>113</v>
      </c>
      <c r="C50" s="413" t="s">
        <v>114</v>
      </c>
      <c r="D50" s="414" t="s">
        <v>115</v>
      </c>
      <c r="E50" s="415" t="s">
        <v>52</v>
      </c>
      <c r="F50" s="413">
        <v>125.16</v>
      </c>
      <c r="G50" s="416">
        <v>81.39</v>
      </c>
      <c r="H50" s="480">
        <f>'ADITIVO - PLANILHA ORÇAMETARIA '!G50*'ADITIVO - PLANILHA ORÇAMETARIA '!F50</f>
        <v>10186.7724</v>
      </c>
      <c r="I50" s="417">
        <f t="shared" si="1"/>
        <v>12821.071742639999</v>
      </c>
      <c r="J50" s="359">
        <v>80.65</v>
      </c>
      <c r="K50" s="362"/>
    </row>
    <row r="51" spans="1:11" s="361" customFormat="1" ht="15.75">
      <c r="A51" s="377"/>
      <c r="B51" s="623" t="s">
        <v>116</v>
      </c>
      <c r="C51" s="413" t="s">
        <v>117</v>
      </c>
      <c r="D51" s="413" t="str">
        <f>COMPOSIÇÕES!A13</f>
        <v> Forma plana para paredes de concreto em compensado resinado de 12mm, 01 uso, inclusive escoramento</v>
      </c>
      <c r="E51" s="415" t="s">
        <v>26</v>
      </c>
      <c r="F51" s="413">
        <v>204.09</v>
      </c>
      <c r="G51" s="416">
        <f>COMPOSIÇÕES!F23</f>
        <v>110.39591999999999</v>
      </c>
      <c r="H51" s="480">
        <f>'ADITIVO - PLANILHA ORÇAMETARIA '!G51*'ADITIVO - PLANILHA ORÇAMETARIA '!F51</f>
        <v>22530.703312799997</v>
      </c>
      <c r="I51" s="417">
        <f t="shared" si="1"/>
        <v>28357.143189490074</v>
      </c>
      <c r="J51" s="359">
        <v>105.09819999999998</v>
      </c>
      <c r="K51" s="362"/>
    </row>
    <row r="52" spans="1:11" s="361" customFormat="1" ht="25.5">
      <c r="A52" s="358" t="s">
        <v>99</v>
      </c>
      <c r="B52" s="623" t="s">
        <v>118</v>
      </c>
      <c r="C52" s="414" t="s">
        <v>119</v>
      </c>
      <c r="D52" s="414" t="s">
        <v>120</v>
      </c>
      <c r="E52" s="415" t="s">
        <v>95</v>
      </c>
      <c r="F52" s="413">
        <v>5212.1</v>
      </c>
      <c r="G52" s="416">
        <v>7.98</v>
      </c>
      <c r="H52" s="480">
        <f>'ADITIVO - PLANILHA ORÇAMETARIA '!G52*'ADITIVO - PLANILHA ORÇAMETARIA '!F52</f>
        <v>41592.558000000005</v>
      </c>
      <c r="I52" s="417">
        <f t="shared" si="1"/>
        <v>52348.393498800004</v>
      </c>
      <c r="J52" s="359">
        <v>7.78</v>
      </c>
      <c r="K52" s="360"/>
    </row>
    <row r="53" spans="1:11" s="361" customFormat="1" ht="15.75" customHeight="1">
      <c r="A53" s="358"/>
      <c r="B53" s="623" t="s">
        <v>121</v>
      </c>
      <c r="C53" s="414" t="s">
        <v>122</v>
      </c>
      <c r="D53" s="414" t="s">
        <v>123</v>
      </c>
      <c r="E53" s="415" t="s">
        <v>95</v>
      </c>
      <c r="F53" s="413">
        <v>1289.2</v>
      </c>
      <c r="G53" s="416">
        <v>7.72</v>
      </c>
      <c r="H53" s="480">
        <f>'ADITIVO - PLANILHA ORÇAMETARIA '!G53*'ADITIVO - PLANILHA ORÇAMETARIA '!F53</f>
        <v>9952.624</v>
      </c>
      <c r="I53" s="417">
        <f t="shared" si="1"/>
        <v>12526.3725664</v>
      </c>
      <c r="J53" s="359">
        <v>7.3</v>
      </c>
      <c r="K53" s="360"/>
    </row>
    <row r="54" spans="1:11" s="361" customFormat="1" ht="15.75" customHeight="1">
      <c r="A54" s="358"/>
      <c r="B54" s="623" t="s">
        <v>124</v>
      </c>
      <c r="C54" s="414" t="s">
        <v>125</v>
      </c>
      <c r="D54" s="414" t="s">
        <v>126</v>
      </c>
      <c r="E54" s="415" t="s">
        <v>52</v>
      </c>
      <c r="F54" s="413">
        <v>136.9</v>
      </c>
      <c r="G54" s="416">
        <v>302.96</v>
      </c>
      <c r="H54" s="480">
        <f>'ADITIVO - PLANILHA ORÇAMETARIA '!G54*'ADITIVO - PLANILHA ORÇAMETARIA '!F54</f>
        <v>41475.224</v>
      </c>
      <c r="I54" s="417">
        <f t="shared" si="1"/>
        <v>52200.7169264</v>
      </c>
      <c r="J54" s="359">
        <v>322.79</v>
      </c>
      <c r="K54" s="360"/>
    </row>
    <row r="55" spans="1:11" s="361" customFormat="1" ht="15.75" customHeight="1">
      <c r="A55" s="358"/>
      <c r="B55" s="623" t="s">
        <v>127</v>
      </c>
      <c r="C55" s="413" t="s">
        <v>128</v>
      </c>
      <c r="D55" s="414" t="s">
        <v>129</v>
      </c>
      <c r="E55" s="415" t="s">
        <v>26</v>
      </c>
      <c r="F55" s="413">
        <v>576.12</v>
      </c>
      <c r="G55" s="416">
        <v>13.71</v>
      </c>
      <c r="H55" s="480">
        <f>'ADITIVO - PLANILHA ORÇAMETARIA '!G55*'ADITIVO - PLANILHA ORÇAMETARIA '!F55</f>
        <v>7898.605200000001</v>
      </c>
      <c r="I55" s="417">
        <f t="shared" si="1"/>
        <v>9941.18450472</v>
      </c>
      <c r="J55" s="359">
        <v>13.27</v>
      </c>
      <c r="K55" s="360"/>
    </row>
    <row r="56" spans="1:256" s="357" customFormat="1" ht="15.75" customHeight="1">
      <c r="A56" s="363"/>
      <c r="B56" s="623" t="s">
        <v>130</v>
      </c>
      <c r="C56" s="409" t="s">
        <v>131</v>
      </c>
      <c r="D56" s="409" t="s">
        <v>132</v>
      </c>
      <c r="E56" s="410" t="s">
        <v>133</v>
      </c>
      <c r="F56" s="408">
        <f>6.16*5</f>
        <v>30.8</v>
      </c>
      <c r="G56" s="412">
        <v>27.89</v>
      </c>
      <c r="H56" s="482">
        <f aca="true" t="shared" si="2" ref="H56:H68">G56*F56</f>
        <v>859.0120000000001</v>
      </c>
      <c r="I56" s="417">
        <f t="shared" si="1"/>
        <v>1081.1525032</v>
      </c>
      <c r="J56" s="354">
        <v>27.89</v>
      </c>
      <c r="K56" s="355"/>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356"/>
      <c r="CZ56" s="356"/>
      <c r="DA56" s="356"/>
      <c r="DB56" s="356"/>
      <c r="DC56" s="356"/>
      <c r="DD56" s="356"/>
      <c r="DE56" s="356"/>
      <c r="DF56" s="356"/>
      <c r="DG56" s="356"/>
      <c r="DH56" s="356"/>
      <c r="DI56" s="356"/>
      <c r="DJ56" s="356"/>
      <c r="DK56" s="356"/>
      <c r="DL56" s="356"/>
      <c r="DM56" s="356"/>
      <c r="DN56" s="356"/>
      <c r="DO56" s="356"/>
      <c r="DP56" s="356"/>
      <c r="DQ56" s="356"/>
      <c r="DR56" s="356"/>
      <c r="DS56" s="356"/>
      <c r="DT56" s="356"/>
      <c r="DU56" s="356"/>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356"/>
      <c r="ES56" s="356"/>
      <c r="ET56" s="356"/>
      <c r="EU56" s="356"/>
      <c r="EV56" s="356"/>
      <c r="EW56" s="356"/>
      <c r="EX56" s="356"/>
      <c r="EY56" s="356"/>
      <c r="EZ56" s="356"/>
      <c r="FA56" s="356"/>
      <c r="FB56" s="356"/>
      <c r="FC56" s="356"/>
      <c r="FD56" s="356"/>
      <c r="FE56" s="356"/>
      <c r="FF56" s="356"/>
      <c r="FG56" s="356"/>
      <c r="FH56" s="356"/>
      <c r="FI56" s="356"/>
      <c r="FJ56" s="356"/>
      <c r="FK56" s="356"/>
      <c r="FL56" s="356"/>
      <c r="FM56" s="356"/>
      <c r="FN56" s="356"/>
      <c r="FO56" s="356"/>
      <c r="FP56" s="356"/>
      <c r="FQ56" s="356"/>
      <c r="FR56" s="356"/>
      <c r="FS56" s="356"/>
      <c r="FT56" s="356"/>
      <c r="FU56" s="356"/>
      <c r="FV56" s="356"/>
      <c r="FW56" s="356"/>
      <c r="FX56" s="356"/>
      <c r="FY56" s="356"/>
      <c r="FZ56" s="356"/>
      <c r="GA56" s="356"/>
      <c r="GB56" s="356"/>
      <c r="GC56" s="356"/>
      <c r="GD56" s="356"/>
      <c r="GE56" s="356"/>
      <c r="GF56" s="356"/>
      <c r="GG56" s="356"/>
      <c r="GH56" s="356"/>
      <c r="GI56" s="356"/>
      <c r="GJ56" s="356"/>
      <c r="GK56" s="356"/>
      <c r="GL56" s="356"/>
      <c r="GM56" s="356"/>
      <c r="GN56" s="356"/>
      <c r="GO56" s="356"/>
      <c r="GP56" s="356"/>
      <c r="GQ56" s="356"/>
      <c r="GR56" s="356"/>
      <c r="GS56" s="356"/>
      <c r="GT56" s="356"/>
      <c r="GU56" s="356"/>
      <c r="GV56" s="356"/>
      <c r="GW56" s="356"/>
      <c r="GX56" s="356"/>
      <c r="GY56" s="356"/>
      <c r="GZ56" s="356"/>
      <c r="HA56" s="356"/>
      <c r="HB56" s="356"/>
      <c r="HC56" s="356"/>
      <c r="HD56" s="356"/>
      <c r="HE56" s="356"/>
      <c r="HF56" s="356"/>
      <c r="HG56" s="356"/>
      <c r="HH56" s="356"/>
      <c r="HI56" s="356"/>
      <c r="HJ56" s="356"/>
      <c r="HK56" s="356"/>
      <c r="HL56" s="356"/>
      <c r="HM56" s="356"/>
      <c r="HN56" s="356"/>
      <c r="HO56" s="356"/>
      <c r="HP56" s="356"/>
      <c r="HQ56" s="356"/>
      <c r="HR56" s="356"/>
      <c r="HS56" s="356"/>
      <c r="HT56" s="356"/>
      <c r="HU56" s="356"/>
      <c r="HV56" s="356"/>
      <c r="HW56" s="356"/>
      <c r="HX56" s="356"/>
      <c r="HY56" s="356"/>
      <c r="HZ56" s="356"/>
      <c r="IA56" s="356"/>
      <c r="IB56" s="356"/>
      <c r="IC56" s="356"/>
      <c r="ID56" s="356"/>
      <c r="IE56" s="356"/>
      <c r="IF56" s="356"/>
      <c r="IG56" s="356"/>
      <c r="IH56" s="356"/>
      <c r="II56" s="356"/>
      <c r="IJ56" s="356"/>
      <c r="IK56" s="356"/>
      <c r="IL56" s="356"/>
      <c r="IM56" s="356"/>
      <c r="IN56" s="356"/>
      <c r="IO56" s="356"/>
      <c r="IP56" s="356"/>
      <c r="IQ56" s="356"/>
      <c r="IR56" s="356"/>
      <c r="IS56" s="356"/>
      <c r="IT56" s="356"/>
      <c r="IU56" s="356"/>
      <c r="IV56" s="356"/>
    </row>
    <row r="57" spans="1:256" s="357" customFormat="1" ht="15.75" customHeight="1">
      <c r="A57" s="363"/>
      <c r="B57" s="623" t="s">
        <v>134</v>
      </c>
      <c r="C57" s="408" t="s">
        <v>135</v>
      </c>
      <c r="D57" s="409" t="s">
        <v>136</v>
      </c>
      <c r="E57" s="410" t="s">
        <v>133</v>
      </c>
      <c r="F57" s="408">
        <f>5</f>
        <v>5</v>
      </c>
      <c r="G57" s="412">
        <f>COMPOSIÇÕES!F234</f>
        <v>25.466979000000002</v>
      </c>
      <c r="H57" s="482">
        <f t="shared" si="2"/>
        <v>127.33489500000002</v>
      </c>
      <c r="I57" s="417">
        <f t="shared" si="1"/>
        <v>160.263698847</v>
      </c>
      <c r="J57" s="354">
        <v>24.151255000000003</v>
      </c>
      <c r="K57" s="355"/>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6"/>
      <c r="CW57" s="356"/>
      <c r="CX57" s="356"/>
      <c r="CY57" s="356"/>
      <c r="CZ57" s="356"/>
      <c r="DA57" s="356"/>
      <c r="DB57" s="356"/>
      <c r="DC57" s="356"/>
      <c r="DD57" s="356"/>
      <c r="DE57" s="356"/>
      <c r="DF57" s="356"/>
      <c r="DG57" s="356"/>
      <c r="DH57" s="356"/>
      <c r="DI57" s="356"/>
      <c r="DJ57" s="356"/>
      <c r="DK57" s="356"/>
      <c r="DL57" s="356"/>
      <c r="DM57" s="356"/>
      <c r="DN57" s="356"/>
      <c r="DO57" s="356"/>
      <c r="DP57" s="356"/>
      <c r="DQ57" s="356"/>
      <c r="DR57" s="356"/>
      <c r="DS57" s="356"/>
      <c r="DT57" s="356"/>
      <c r="DU57" s="356"/>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356"/>
      <c r="ES57" s="356"/>
      <c r="ET57" s="356"/>
      <c r="EU57" s="356"/>
      <c r="EV57" s="356"/>
      <c r="EW57" s="356"/>
      <c r="EX57" s="356"/>
      <c r="EY57" s="356"/>
      <c r="EZ57" s="356"/>
      <c r="FA57" s="356"/>
      <c r="FB57" s="356"/>
      <c r="FC57" s="356"/>
      <c r="FD57" s="356"/>
      <c r="FE57" s="356"/>
      <c r="FF57" s="356"/>
      <c r="FG57" s="356"/>
      <c r="FH57" s="356"/>
      <c r="FI57" s="356"/>
      <c r="FJ57" s="356"/>
      <c r="FK57" s="356"/>
      <c r="FL57" s="356"/>
      <c r="FM57" s="356"/>
      <c r="FN57" s="356"/>
      <c r="FO57" s="356"/>
      <c r="FP57" s="356"/>
      <c r="FQ57" s="356"/>
      <c r="FR57" s="356"/>
      <c r="FS57" s="356"/>
      <c r="FT57" s="356"/>
      <c r="FU57" s="356"/>
      <c r="FV57" s="356"/>
      <c r="FW57" s="356"/>
      <c r="FX57" s="356"/>
      <c r="FY57" s="356"/>
      <c r="FZ57" s="356"/>
      <c r="GA57" s="356"/>
      <c r="GB57" s="356"/>
      <c r="GC57" s="356"/>
      <c r="GD57" s="356"/>
      <c r="GE57" s="356"/>
      <c r="GF57" s="356"/>
      <c r="GG57" s="356"/>
      <c r="GH57" s="356"/>
      <c r="GI57" s="356"/>
      <c r="GJ57" s="356"/>
      <c r="GK57" s="356"/>
      <c r="GL57" s="356"/>
      <c r="GM57" s="356"/>
      <c r="GN57" s="356"/>
      <c r="GO57" s="356"/>
      <c r="GP57" s="356"/>
      <c r="GQ57" s="356"/>
      <c r="GR57" s="356"/>
      <c r="GS57" s="356"/>
      <c r="GT57" s="356"/>
      <c r="GU57" s="356"/>
      <c r="GV57" s="356"/>
      <c r="GW57" s="356"/>
      <c r="GX57" s="356"/>
      <c r="GY57" s="356"/>
      <c r="GZ57" s="356"/>
      <c r="HA57" s="356"/>
      <c r="HB57" s="356"/>
      <c r="HC57" s="356"/>
      <c r="HD57" s="356"/>
      <c r="HE57" s="356"/>
      <c r="HF57" s="356"/>
      <c r="HG57" s="356"/>
      <c r="HH57" s="356"/>
      <c r="HI57" s="356"/>
      <c r="HJ57" s="356"/>
      <c r="HK57" s="356"/>
      <c r="HL57" s="356"/>
      <c r="HM57" s="356"/>
      <c r="HN57" s="356"/>
      <c r="HO57" s="356"/>
      <c r="HP57" s="356"/>
      <c r="HQ57" s="356"/>
      <c r="HR57" s="356"/>
      <c r="HS57" s="356"/>
      <c r="HT57" s="356"/>
      <c r="HU57" s="356"/>
      <c r="HV57" s="356"/>
      <c r="HW57" s="356"/>
      <c r="HX57" s="356"/>
      <c r="HY57" s="356"/>
      <c r="HZ57" s="356"/>
      <c r="IA57" s="356"/>
      <c r="IB57" s="356"/>
      <c r="IC57" s="356"/>
      <c r="ID57" s="356"/>
      <c r="IE57" s="356"/>
      <c r="IF57" s="356"/>
      <c r="IG57" s="356"/>
      <c r="IH57" s="356"/>
      <c r="II57" s="356"/>
      <c r="IJ57" s="356"/>
      <c r="IK57" s="356"/>
      <c r="IL57" s="356"/>
      <c r="IM57" s="356"/>
      <c r="IN57" s="356"/>
      <c r="IO57" s="356"/>
      <c r="IP57" s="356"/>
      <c r="IQ57" s="356"/>
      <c r="IR57" s="356"/>
      <c r="IS57" s="356"/>
      <c r="IT57" s="356"/>
      <c r="IU57" s="356"/>
      <c r="IV57" s="356"/>
    </row>
    <row r="58" spans="1:256" s="357" customFormat="1" ht="15.75">
      <c r="A58" s="364"/>
      <c r="B58" s="623" t="s">
        <v>137</v>
      </c>
      <c r="C58" s="413" t="s">
        <v>367</v>
      </c>
      <c r="D58" s="414" t="s">
        <v>139</v>
      </c>
      <c r="E58" s="430" t="s">
        <v>26</v>
      </c>
      <c r="F58" s="431">
        <v>0.45</v>
      </c>
      <c r="G58" s="432">
        <v>177.52</v>
      </c>
      <c r="H58" s="482">
        <f t="shared" si="2"/>
        <v>79.884</v>
      </c>
      <c r="I58" s="417">
        <f t="shared" si="1"/>
        <v>100.5420024</v>
      </c>
      <c r="J58" s="354">
        <v>174.71</v>
      </c>
      <c r="K58" s="355"/>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6"/>
      <c r="CW58" s="356"/>
      <c r="CX58" s="356"/>
      <c r="CY58" s="356"/>
      <c r="CZ58" s="356"/>
      <c r="DA58" s="356"/>
      <c r="DB58" s="356"/>
      <c r="DC58" s="356"/>
      <c r="DD58" s="356"/>
      <c r="DE58" s="356"/>
      <c r="DF58" s="356"/>
      <c r="DG58" s="356"/>
      <c r="DH58" s="356"/>
      <c r="DI58" s="356"/>
      <c r="DJ58" s="356"/>
      <c r="DK58" s="356"/>
      <c r="DL58" s="356"/>
      <c r="DM58" s="356"/>
      <c r="DN58" s="356"/>
      <c r="DO58" s="356"/>
      <c r="DP58" s="356"/>
      <c r="DQ58" s="356"/>
      <c r="DR58" s="356"/>
      <c r="DS58" s="356"/>
      <c r="DT58" s="356"/>
      <c r="DU58" s="356"/>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356"/>
      <c r="ES58" s="356"/>
      <c r="ET58" s="356"/>
      <c r="EU58" s="356"/>
      <c r="EV58" s="356"/>
      <c r="EW58" s="356"/>
      <c r="EX58" s="356"/>
      <c r="EY58" s="356"/>
      <c r="EZ58" s="356"/>
      <c r="FA58" s="356"/>
      <c r="FB58" s="356"/>
      <c r="FC58" s="356"/>
      <c r="FD58" s="356"/>
      <c r="FE58" s="356"/>
      <c r="FF58" s="356"/>
      <c r="FG58" s="356"/>
      <c r="FH58" s="356"/>
      <c r="FI58" s="356"/>
      <c r="FJ58" s="356"/>
      <c r="FK58" s="356"/>
      <c r="FL58" s="356"/>
      <c r="FM58" s="356"/>
      <c r="FN58" s="356"/>
      <c r="FO58" s="356"/>
      <c r="FP58" s="356"/>
      <c r="FQ58" s="356"/>
      <c r="FR58" s="356"/>
      <c r="FS58" s="356"/>
      <c r="FT58" s="356"/>
      <c r="FU58" s="356"/>
      <c r="FV58" s="356"/>
      <c r="FW58" s="356"/>
      <c r="FX58" s="356"/>
      <c r="FY58" s="356"/>
      <c r="FZ58" s="356"/>
      <c r="GA58" s="356"/>
      <c r="GB58" s="356"/>
      <c r="GC58" s="356"/>
      <c r="GD58" s="356"/>
      <c r="GE58" s="356"/>
      <c r="GF58" s="356"/>
      <c r="GG58" s="356"/>
      <c r="GH58" s="356"/>
      <c r="GI58" s="356"/>
      <c r="GJ58" s="356"/>
      <c r="GK58" s="356"/>
      <c r="GL58" s="356"/>
      <c r="GM58" s="356"/>
      <c r="GN58" s="356"/>
      <c r="GO58" s="356"/>
      <c r="GP58" s="356"/>
      <c r="GQ58" s="356"/>
      <c r="GR58" s="356"/>
      <c r="GS58" s="356"/>
      <c r="GT58" s="356"/>
      <c r="GU58" s="356"/>
      <c r="GV58" s="356"/>
      <c r="GW58" s="356"/>
      <c r="GX58" s="356"/>
      <c r="GY58" s="356"/>
      <c r="GZ58" s="356"/>
      <c r="HA58" s="356"/>
      <c r="HB58" s="356"/>
      <c r="HC58" s="356"/>
      <c r="HD58" s="356"/>
      <c r="HE58" s="356"/>
      <c r="HF58" s="356"/>
      <c r="HG58" s="356"/>
      <c r="HH58" s="356"/>
      <c r="HI58" s="356"/>
      <c r="HJ58" s="356"/>
      <c r="HK58" s="356"/>
      <c r="HL58" s="356"/>
      <c r="HM58" s="356"/>
      <c r="HN58" s="356"/>
      <c r="HO58" s="356"/>
      <c r="HP58" s="356"/>
      <c r="HQ58" s="356"/>
      <c r="HR58" s="356"/>
      <c r="HS58" s="356"/>
      <c r="HT58" s="356"/>
      <c r="HU58" s="356"/>
      <c r="HV58" s="356"/>
      <c r="HW58" s="356"/>
      <c r="HX58" s="356"/>
      <c r="HY58" s="356"/>
      <c r="HZ58" s="356"/>
      <c r="IA58" s="356"/>
      <c r="IB58" s="356"/>
      <c r="IC58" s="356"/>
      <c r="ID58" s="356"/>
      <c r="IE58" s="356"/>
      <c r="IF58" s="356"/>
      <c r="IG58" s="356"/>
      <c r="IH58" s="356"/>
      <c r="II58" s="356"/>
      <c r="IJ58" s="356"/>
      <c r="IK58" s="356"/>
      <c r="IL58" s="356"/>
      <c r="IM58" s="356"/>
      <c r="IN58" s="356"/>
      <c r="IO58" s="356"/>
      <c r="IP58" s="356"/>
      <c r="IQ58" s="356"/>
      <c r="IR58" s="356"/>
      <c r="IS58" s="356"/>
      <c r="IT58" s="356"/>
      <c r="IU58" s="356"/>
      <c r="IV58" s="356"/>
    </row>
    <row r="59" spans="1:256" s="357" customFormat="1" ht="25.5">
      <c r="A59" s="364"/>
      <c r="B59" s="623" t="s">
        <v>140</v>
      </c>
      <c r="C59" s="409" t="s">
        <v>141</v>
      </c>
      <c r="D59" s="409" t="s">
        <v>142</v>
      </c>
      <c r="E59" s="410" t="s">
        <v>26</v>
      </c>
      <c r="F59" s="408">
        <f>'ADITIVO - PLANILHA ORÇAMETARIA '!F58</f>
        <v>0.45</v>
      </c>
      <c r="G59" s="412">
        <v>75.74</v>
      </c>
      <c r="H59" s="482">
        <f t="shared" si="2"/>
        <v>34.083</v>
      </c>
      <c r="I59" s="417">
        <f t="shared" si="1"/>
        <v>42.8968638</v>
      </c>
      <c r="J59" s="354">
        <v>75.74</v>
      </c>
      <c r="K59" s="355"/>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6"/>
      <c r="CY59" s="356"/>
      <c r="CZ59" s="356"/>
      <c r="DA59" s="356"/>
      <c r="DB59" s="356"/>
      <c r="DC59" s="356"/>
      <c r="DD59" s="356"/>
      <c r="DE59" s="356"/>
      <c r="DF59" s="356"/>
      <c r="DG59" s="356"/>
      <c r="DH59" s="356"/>
      <c r="DI59" s="356"/>
      <c r="DJ59" s="356"/>
      <c r="DK59" s="356"/>
      <c r="DL59" s="356"/>
      <c r="DM59" s="356"/>
      <c r="DN59" s="356"/>
      <c r="DO59" s="356"/>
      <c r="DP59" s="356"/>
      <c r="DQ59" s="356"/>
      <c r="DR59" s="356"/>
      <c r="DS59" s="356"/>
      <c r="DT59" s="356"/>
      <c r="DU59" s="356"/>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356"/>
      <c r="ES59" s="356"/>
      <c r="ET59" s="356"/>
      <c r="EU59" s="356"/>
      <c r="EV59" s="356"/>
      <c r="EW59" s="356"/>
      <c r="EX59" s="356"/>
      <c r="EY59" s="356"/>
      <c r="EZ59" s="356"/>
      <c r="FA59" s="356"/>
      <c r="FB59" s="356"/>
      <c r="FC59" s="356"/>
      <c r="FD59" s="356"/>
      <c r="FE59" s="356"/>
      <c r="FF59" s="356"/>
      <c r="FG59" s="356"/>
      <c r="FH59" s="356"/>
      <c r="FI59" s="356"/>
      <c r="FJ59" s="356"/>
      <c r="FK59" s="356"/>
      <c r="FL59" s="356"/>
      <c r="FM59" s="356"/>
      <c r="FN59" s="356"/>
      <c r="FO59" s="356"/>
      <c r="FP59" s="356"/>
      <c r="FQ59" s="356"/>
      <c r="FR59" s="356"/>
      <c r="FS59" s="356"/>
      <c r="FT59" s="356"/>
      <c r="FU59" s="356"/>
      <c r="FV59" s="356"/>
      <c r="FW59" s="356"/>
      <c r="FX59" s="356"/>
      <c r="FY59" s="356"/>
      <c r="FZ59" s="356"/>
      <c r="GA59" s="356"/>
      <c r="GB59" s="356"/>
      <c r="GC59" s="356"/>
      <c r="GD59" s="356"/>
      <c r="GE59" s="356"/>
      <c r="GF59" s="356"/>
      <c r="GG59" s="356"/>
      <c r="GH59" s="356"/>
      <c r="GI59" s="356"/>
      <c r="GJ59" s="356"/>
      <c r="GK59" s="356"/>
      <c r="GL59" s="356"/>
      <c r="GM59" s="356"/>
      <c r="GN59" s="356"/>
      <c r="GO59" s="356"/>
      <c r="GP59" s="356"/>
      <c r="GQ59" s="356"/>
      <c r="GR59" s="356"/>
      <c r="GS59" s="356"/>
      <c r="GT59" s="356"/>
      <c r="GU59" s="356"/>
      <c r="GV59" s="356"/>
      <c r="GW59" s="356"/>
      <c r="GX59" s="356"/>
      <c r="GY59" s="356"/>
      <c r="GZ59" s="356"/>
      <c r="HA59" s="356"/>
      <c r="HB59" s="356"/>
      <c r="HC59" s="356"/>
      <c r="HD59" s="356"/>
      <c r="HE59" s="356"/>
      <c r="HF59" s="356"/>
      <c r="HG59" s="356"/>
      <c r="HH59" s="356"/>
      <c r="HI59" s="356"/>
      <c r="HJ59" s="356"/>
      <c r="HK59" s="356"/>
      <c r="HL59" s="356"/>
      <c r="HM59" s="356"/>
      <c r="HN59" s="356"/>
      <c r="HO59" s="356"/>
      <c r="HP59" s="356"/>
      <c r="HQ59" s="356"/>
      <c r="HR59" s="356"/>
      <c r="HS59" s="356"/>
      <c r="HT59" s="356"/>
      <c r="HU59" s="356"/>
      <c r="HV59" s="356"/>
      <c r="HW59" s="356"/>
      <c r="HX59" s="356"/>
      <c r="HY59" s="356"/>
      <c r="HZ59" s="356"/>
      <c r="IA59" s="356"/>
      <c r="IB59" s="356"/>
      <c r="IC59" s="356"/>
      <c r="ID59" s="356"/>
      <c r="IE59" s="356"/>
      <c r="IF59" s="356"/>
      <c r="IG59" s="356"/>
      <c r="IH59" s="356"/>
      <c r="II59" s="356"/>
      <c r="IJ59" s="356"/>
      <c r="IK59" s="356"/>
      <c r="IL59" s="356"/>
      <c r="IM59" s="356"/>
      <c r="IN59" s="356"/>
      <c r="IO59" s="356"/>
      <c r="IP59" s="356"/>
      <c r="IQ59" s="356"/>
      <c r="IR59" s="356"/>
      <c r="IS59" s="356"/>
      <c r="IT59" s="356"/>
      <c r="IU59" s="356"/>
      <c r="IV59" s="356"/>
    </row>
    <row r="60" spans="1:256" s="357" customFormat="1" ht="35.25" customHeight="1">
      <c r="A60" s="353"/>
      <c r="B60" s="623" t="s">
        <v>143</v>
      </c>
      <c r="C60" s="409" t="s">
        <v>93</v>
      </c>
      <c r="D60" s="409" t="s">
        <v>144</v>
      </c>
      <c r="E60" s="410" t="s">
        <v>95</v>
      </c>
      <c r="F60" s="411">
        <v>55</v>
      </c>
      <c r="G60" s="412">
        <v>6.29</v>
      </c>
      <c r="H60" s="482">
        <f t="shared" si="2"/>
        <v>345.95</v>
      </c>
      <c r="I60" s="417">
        <f t="shared" si="1"/>
        <v>435.41267</v>
      </c>
      <c r="J60" s="354">
        <v>7.75</v>
      </c>
      <c r="K60" s="355"/>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6"/>
      <c r="DU60" s="356"/>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356"/>
      <c r="ES60" s="356"/>
      <c r="ET60" s="356"/>
      <c r="EU60" s="356"/>
      <c r="EV60" s="356"/>
      <c r="EW60" s="356"/>
      <c r="EX60" s="356"/>
      <c r="EY60" s="356"/>
      <c r="EZ60" s="356"/>
      <c r="FA60" s="356"/>
      <c r="FB60" s="356"/>
      <c r="FC60" s="356"/>
      <c r="FD60" s="356"/>
      <c r="FE60" s="356"/>
      <c r="FF60" s="356"/>
      <c r="FG60" s="356"/>
      <c r="FH60" s="356"/>
      <c r="FI60" s="356"/>
      <c r="FJ60" s="356"/>
      <c r="FK60" s="356"/>
      <c r="FL60" s="356"/>
      <c r="FM60" s="356"/>
      <c r="FN60" s="356"/>
      <c r="FO60" s="356"/>
      <c r="FP60" s="356"/>
      <c r="FQ60" s="356"/>
      <c r="FR60" s="356"/>
      <c r="FS60" s="356"/>
      <c r="FT60" s="356"/>
      <c r="FU60" s="356"/>
      <c r="FV60" s="356"/>
      <c r="FW60" s="356"/>
      <c r="FX60" s="356"/>
      <c r="FY60" s="356"/>
      <c r="FZ60" s="356"/>
      <c r="GA60" s="356"/>
      <c r="GB60" s="356"/>
      <c r="GC60" s="356"/>
      <c r="GD60" s="356"/>
      <c r="GE60" s="356"/>
      <c r="GF60" s="356"/>
      <c r="GG60" s="356"/>
      <c r="GH60" s="356"/>
      <c r="GI60" s="356"/>
      <c r="GJ60" s="356"/>
      <c r="GK60" s="356"/>
      <c r="GL60" s="356"/>
      <c r="GM60" s="356"/>
      <c r="GN60" s="356"/>
      <c r="GO60" s="356"/>
      <c r="GP60" s="356"/>
      <c r="GQ60" s="356"/>
      <c r="GR60" s="356"/>
      <c r="GS60" s="356"/>
      <c r="GT60" s="356"/>
      <c r="GU60" s="356"/>
      <c r="GV60" s="356"/>
      <c r="GW60" s="356"/>
      <c r="GX60" s="356"/>
      <c r="GY60" s="356"/>
      <c r="GZ60" s="356"/>
      <c r="HA60" s="356"/>
      <c r="HB60" s="356"/>
      <c r="HC60" s="356"/>
      <c r="HD60" s="356"/>
      <c r="HE60" s="356"/>
      <c r="HF60" s="356"/>
      <c r="HG60" s="356"/>
      <c r="HH60" s="356"/>
      <c r="HI60" s="356"/>
      <c r="HJ60" s="356"/>
      <c r="HK60" s="356"/>
      <c r="HL60" s="356"/>
      <c r="HM60" s="356"/>
      <c r="HN60" s="356"/>
      <c r="HO60" s="356"/>
      <c r="HP60" s="356"/>
      <c r="HQ60" s="356"/>
      <c r="HR60" s="356"/>
      <c r="HS60" s="356"/>
      <c r="HT60" s="356"/>
      <c r="HU60" s="356"/>
      <c r="HV60" s="356"/>
      <c r="HW60" s="356"/>
      <c r="HX60" s="356"/>
      <c r="HY60" s="356"/>
      <c r="HZ60" s="356"/>
      <c r="IA60" s="356"/>
      <c r="IB60" s="356"/>
      <c r="IC60" s="356"/>
      <c r="ID60" s="356"/>
      <c r="IE60" s="356"/>
      <c r="IF60" s="356"/>
      <c r="IG60" s="356"/>
      <c r="IH60" s="356"/>
      <c r="II60" s="356"/>
      <c r="IJ60" s="356"/>
      <c r="IK60" s="356"/>
      <c r="IL60" s="356"/>
      <c r="IM60" s="356"/>
      <c r="IN60" s="356"/>
      <c r="IO60" s="356"/>
      <c r="IP60" s="356"/>
      <c r="IQ60" s="356"/>
      <c r="IR60" s="356"/>
      <c r="IS60" s="356"/>
      <c r="IT60" s="356"/>
      <c r="IU60" s="356"/>
      <c r="IV60" s="356"/>
    </row>
    <row r="61" spans="1:256" s="357" customFormat="1" ht="35.25" customHeight="1">
      <c r="A61" s="364"/>
      <c r="B61" s="623" t="s">
        <v>145</v>
      </c>
      <c r="C61" s="409" t="s">
        <v>146</v>
      </c>
      <c r="D61" s="409" t="s">
        <v>147</v>
      </c>
      <c r="E61" s="410" t="s">
        <v>95</v>
      </c>
      <c r="F61" s="411">
        <v>104</v>
      </c>
      <c r="G61" s="412">
        <v>5.24</v>
      </c>
      <c r="H61" s="482">
        <f t="shared" si="2"/>
        <v>544.96</v>
      </c>
      <c r="I61" s="417">
        <f t="shared" si="1"/>
        <v>685.886656</v>
      </c>
      <c r="J61" s="354">
        <v>6.39</v>
      </c>
      <c r="K61" s="355"/>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356"/>
      <c r="CZ61" s="356"/>
      <c r="DA61" s="356"/>
      <c r="DB61" s="356"/>
      <c r="DC61" s="356"/>
      <c r="DD61" s="356"/>
      <c r="DE61" s="356"/>
      <c r="DF61" s="356"/>
      <c r="DG61" s="356"/>
      <c r="DH61" s="356"/>
      <c r="DI61" s="356"/>
      <c r="DJ61" s="356"/>
      <c r="DK61" s="356"/>
      <c r="DL61" s="356"/>
      <c r="DM61" s="356"/>
      <c r="DN61" s="356"/>
      <c r="DO61" s="356"/>
      <c r="DP61" s="356"/>
      <c r="DQ61" s="356"/>
      <c r="DR61" s="356"/>
      <c r="DS61" s="356"/>
      <c r="DT61" s="356"/>
      <c r="DU61" s="356"/>
      <c r="DV61" s="356"/>
      <c r="DW61" s="356"/>
      <c r="DX61" s="356"/>
      <c r="DY61" s="356"/>
      <c r="DZ61" s="356"/>
      <c r="EA61" s="356"/>
      <c r="EB61" s="356"/>
      <c r="EC61" s="356"/>
      <c r="ED61" s="356"/>
      <c r="EE61" s="356"/>
      <c r="EF61" s="356"/>
      <c r="EG61" s="356"/>
      <c r="EH61" s="356"/>
      <c r="EI61" s="356"/>
      <c r="EJ61" s="356"/>
      <c r="EK61" s="356"/>
      <c r="EL61" s="356"/>
      <c r="EM61" s="356"/>
      <c r="EN61" s="356"/>
      <c r="EO61" s="356"/>
      <c r="EP61" s="356"/>
      <c r="EQ61" s="356"/>
      <c r="ER61" s="356"/>
      <c r="ES61" s="356"/>
      <c r="ET61" s="356"/>
      <c r="EU61" s="356"/>
      <c r="EV61" s="356"/>
      <c r="EW61" s="356"/>
      <c r="EX61" s="356"/>
      <c r="EY61" s="356"/>
      <c r="EZ61" s="356"/>
      <c r="FA61" s="356"/>
      <c r="FB61" s="356"/>
      <c r="FC61" s="356"/>
      <c r="FD61" s="356"/>
      <c r="FE61" s="356"/>
      <c r="FF61" s="356"/>
      <c r="FG61" s="356"/>
      <c r="FH61" s="356"/>
      <c r="FI61" s="356"/>
      <c r="FJ61" s="356"/>
      <c r="FK61" s="356"/>
      <c r="FL61" s="356"/>
      <c r="FM61" s="356"/>
      <c r="FN61" s="356"/>
      <c r="FO61" s="356"/>
      <c r="FP61" s="356"/>
      <c r="FQ61" s="356"/>
      <c r="FR61" s="356"/>
      <c r="FS61" s="356"/>
      <c r="FT61" s="356"/>
      <c r="FU61" s="356"/>
      <c r="FV61" s="356"/>
      <c r="FW61" s="356"/>
      <c r="FX61" s="356"/>
      <c r="FY61" s="356"/>
      <c r="FZ61" s="356"/>
      <c r="GA61" s="356"/>
      <c r="GB61" s="356"/>
      <c r="GC61" s="356"/>
      <c r="GD61" s="356"/>
      <c r="GE61" s="356"/>
      <c r="GF61" s="356"/>
      <c r="GG61" s="356"/>
      <c r="GH61" s="356"/>
      <c r="GI61" s="356"/>
      <c r="GJ61" s="356"/>
      <c r="GK61" s="356"/>
      <c r="GL61" s="356"/>
      <c r="GM61" s="356"/>
      <c r="GN61" s="356"/>
      <c r="GO61" s="356"/>
      <c r="GP61" s="356"/>
      <c r="GQ61" s="356"/>
      <c r="GR61" s="356"/>
      <c r="GS61" s="356"/>
      <c r="GT61" s="356"/>
      <c r="GU61" s="356"/>
      <c r="GV61" s="356"/>
      <c r="GW61" s="356"/>
      <c r="GX61" s="356"/>
      <c r="GY61" s="356"/>
      <c r="GZ61" s="356"/>
      <c r="HA61" s="356"/>
      <c r="HB61" s="356"/>
      <c r="HC61" s="356"/>
      <c r="HD61" s="356"/>
      <c r="HE61" s="356"/>
      <c r="HF61" s="356"/>
      <c r="HG61" s="356"/>
      <c r="HH61" s="356"/>
      <c r="HI61" s="356"/>
      <c r="HJ61" s="356"/>
      <c r="HK61" s="356"/>
      <c r="HL61" s="356"/>
      <c r="HM61" s="356"/>
      <c r="HN61" s="356"/>
      <c r="HO61" s="356"/>
      <c r="HP61" s="356"/>
      <c r="HQ61" s="356"/>
      <c r="HR61" s="356"/>
      <c r="HS61" s="356"/>
      <c r="HT61" s="356"/>
      <c r="HU61" s="356"/>
      <c r="HV61" s="356"/>
      <c r="HW61" s="356"/>
      <c r="HX61" s="356"/>
      <c r="HY61" s="356"/>
      <c r="HZ61" s="356"/>
      <c r="IA61" s="356"/>
      <c r="IB61" s="356"/>
      <c r="IC61" s="356"/>
      <c r="ID61" s="356"/>
      <c r="IE61" s="356"/>
      <c r="IF61" s="356"/>
      <c r="IG61" s="356"/>
      <c r="IH61" s="356"/>
      <c r="II61" s="356"/>
      <c r="IJ61" s="356"/>
      <c r="IK61" s="356"/>
      <c r="IL61" s="356"/>
      <c r="IM61" s="356"/>
      <c r="IN61" s="356"/>
      <c r="IO61" s="356"/>
      <c r="IP61" s="356"/>
      <c r="IQ61" s="356"/>
      <c r="IR61" s="356"/>
      <c r="IS61" s="356"/>
      <c r="IT61" s="356"/>
      <c r="IU61" s="356"/>
      <c r="IV61" s="356"/>
    </row>
    <row r="62" spans="1:256" s="357" customFormat="1" ht="35.25" customHeight="1">
      <c r="A62" s="364"/>
      <c r="B62" s="623" t="s">
        <v>148</v>
      </c>
      <c r="C62" s="409" t="s">
        <v>149</v>
      </c>
      <c r="D62" s="409" t="s">
        <v>150</v>
      </c>
      <c r="E62" s="410" t="s">
        <v>95</v>
      </c>
      <c r="F62" s="411">
        <v>84</v>
      </c>
      <c r="G62" s="412">
        <v>6.1</v>
      </c>
      <c r="H62" s="482">
        <f t="shared" si="2"/>
        <v>512.4</v>
      </c>
      <c r="I62" s="417">
        <f t="shared" si="1"/>
        <v>644.9066399999999</v>
      </c>
      <c r="J62" s="354">
        <v>7.72</v>
      </c>
      <c r="K62" s="355"/>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c r="IQ62" s="356"/>
      <c r="IR62" s="356"/>
      <c r="IS62" s="356"/>
      <c r="IT62" s="356"/>
      <c r="IU62" s="356"/>
      <c r="IV62" s="356"/>
    </row>
    <row r="63" spans="1:256" s="357" customFormat="1" ht="35.25" customHeight="1">
      <c r="A63" s="364"/>
      <c r="B63" s="623" t="s">
        <v>151</v>
      </c>
      <c r="C63" s="409" t="s">
        <v>152</v>
      </c>
      <c r="D63" s="409" t="s">
        <v>153</v>
      </c>
      <c r="E63" s="410" t="s">
        <v>26</v>
      </c>
      <c r="F63" s="411">
        <v>48.52</v>
      </c>
      <c r="G63" s="412">
        <v>87.65</v>
      </c>
      <c r="H63" s="482">
        <f t="shared" si="2"/>
        <v>4252.778</v>
      </c>
      <c r="I63" s="417">
        <f t="shared" si="1"/>
        <v>5352.5463908</v>
      </c>
      <c r="J63" s="354">
        <v>85.58</v>
      </c>
      <c r="K63" s="355"/>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6"/>
      <c r="CY63" s="356"/>
      <c r="CZ63" s="356"/>
      <c r="DA63" s="356"/>
      <c r="DB63" s="356"/>
      <c r="DC63" s="356"/>
      <c r="DD63" s="356"/>
      <c r="DE63" s="356"/>
      <c r="DF63" s="356"/>
      <c r="DG63" s="356"/>
      <c r="DH63" s="356"/>
      <c r="DI63" s="356"/>
      <c r="DJ63" s="356"/>
      <c r="DK63" s="356"/>
      <c r="DL63" s="356"/>
      <c r="DM63" s="356"/>
      <c r="DN63" s="356"/>
      <c r="DO63" s="356"/>
      <c r="DP63" s="356"/>
      <c r="DQ63" s="356"/>
      <c r="DR63" s="356"/>
      <c r="DS63" s="356"/>
      <c r="DT63" s="356"/>
      <c r="DU63" s="356"/>
      <c r="DV63" s="356"/>
      <c r="DW63" s="356"/>
      <c r="DX63" s="356"/>
      <c r="DY63" s="356"/>
      <c r="DZ63" s="356"/>
      <c r="EA63" s="356"/>
      <c r="EB63" s="356"/>
      <c r="EC63" s="356"/>
      <c r="ED63" s="356"/>
      <c r="EE63" s="356"/>
      <c r="EF63" s="356"/>
      <c r="EG63" s="356"/>
      <c r="EH63" s="356"/>
      <c r="EI63" s="356"/>
      <c r="EJ63" s="356"/>
      <c r="EK63" s="356"/>
      <c r="EL63" s="356"/>
      <c r="EM63" s="356"/>
      <c r="EN63" s="356"/>
      <c r="EO63" s="356"/>
      <c r="EP63" s="356"/>
      <c r="EQ63" s="356"/>
      <c r="ER63" s="356"/>
      <c r="ES63" s="356"/>
      <c r="ET63" s="356"/>
      <c r="EU63" s="356"/>
      <c r="EV63" s="356"/>
      <c r="EW63" s="356"/>
      <c r="EX63" s="356"/>
      <c r="EY63" s="356"/>
      <c r="EZ63" s="356"/>
      <c r="FA63" s="356"/>
      <c r="FB63" s="356"/>
      <c r="FC63" s="356"/>
      <c r="FD63" s="356"/>
      <c r="FE63" s="356"/>
      <c r="FF63" s="356"/>
      <c r="FG63" s="356"/>
      <c r="FH63" s="356"/>
      <c r="FI63" s="356"/>
      <c r="FJ63" s="356"/>
      <c r="FK63" s="356"/>
      <c r="FL63" s="356"/>
      <c r="FM63" s="356"/>
      <c r="FN63" s="356"/>
      <c r="FO63" s="356"/>
      <c r="FP63" s="356"/>
      <c r="FQ63" s="356"/>
      <c r="FR63" s="356"/>
      <c r="FS63" s="356"/>
      <c r="FT63" s="356"/>
      <c r="FU63" s="356"/>
      <c r="FV63" s="356"/>
      <c r="FW63" s="356"/>
      <c r="FX63" s="356"/>
      <c r="FY63" s="356"/>
      <c r="FZ63" s="356"/>
      <c r="GA63" s="356"/>
      <c r="GB63" s="356"/>
      <c r="GC63" s="356"/>
      <c r="GD63" s="356"/>
      <c r="GE63" s="356"/>
      <c r="GF63" s="356"/>
      <c r="GG63" s="356"/>
      <c r="GH63" s="356"/>
      <c r="GI63" s="356"/>
      <c r="GJ63" s="356"/>
      <c r="GK63" s="356"/>
      <c r="GL63" s="356"/>
      <c r="GM63" s="356"/>
      <c r="GN63" s="356"/>
      <c r="GO63" s="356"/>
      <c r="GP63" s="356"/>
      <c r="GQ63" s="356"/>
      <c r="GR63" s="356"/>
      <c r="GS63" s="356"/>
      <c r="GT63" s="356"/>
      <c r="GU63" s="356"/>
      <c r="GV63" s="356"/>
      <c r="GW63" s="356"/>
      <c r="GX63" s="356"/>
      <c r="GY63" s="356"/>
      <c r="GZ63" s="356"/>
      <c r="HA63" s="356"/>
      <c r="HB63" s="356"/>
      <c r="HC63" s="356"/>
      <c r="HD63" s="356"/>
      <c r="HE63" s="356"/>
      <c r="HF63" s="356"/>
      <c r="HG63" s="356"/>
      <c r="HH63" s="356"/>
      <c r="HI63" s="356"/>
      <c r="HJ63" s="356"/>
      <c r="HK63" s="356"/>
      <c r="HL63" s="356"/>
      <c r="HM63" s="356"/>
      <c r="HN63" s="356"/>
      <c r="HO63" s="356"/>
      <c r="HP63" s="356"/>
      <c r="HQ63" s="356"/>
      <c r="HR63" s="356"/>
      <c r="HS63" s="356"/>
      <c r="HT63" s="356"/>
      <c r="HU63" s="356"/>
      <c r="HV63" s="356"/>
      <c r="HW63" s="356"/>
      <c r="HX63" s="356"/>
      <c r="HY63" s="356"/>
      <c r="HZ63" s="356"/>
      <c r="IA63" s="356"/>
      <c r="IB63" s="356"/>
      <c r="IC63" s="356"/>
      <c r="ID63" s="356"/>
      <c r="IE63" s="356"/>
      <c r="IF63" s="356"/>
      <c r="IG63" s="356"/>
      <c r="IH63" s="356"/>
      <c r="II63" s="356"/>
      <c r="IJ63" s="356"/>
      <c r="IK63" s="356"/>
      <c r="IL63" s="356"/>
      <c r="IM63" s="356"/>
      <c r="IN63" s="356"/>
      <c r="IO63" s="356"/>
      <c r="IP63" s="356"/>
      <c r="IQ63" s="356"/>
      <c r="IR63" s="356"/>
      <c r="IS63" s="356"/>
      <c r="IT63" s="356"/>
      <c r="IU63" s="356"/>
      <c r="IV63" s="356"/>
    </row>
    <row r="64" spans="1:256" s="357" customFormat="1" ht="35.25" customHeight="1">
      <c r="A64" s="353"/>
      <c r="B64" s="623" t="s">
        <v>155</v>
      </c>
      <c r="C64" s="409" t="s">
        <v>97</v>
      </c>
      <c r="D64" s="409" t="s">
        <v>98</v>
      </c>
      <c r="E64" s="410" t="s">
        <v>52</v>
      </c>
      <c r="F64" s="411">
        <v>3.19</v>
      </c>
      <c r="G64" s="412">
        <v>302.4</v>
      </c>
      <c r="H64" s="482">
        <f t="shared" si="2"/>
        <v>964.656</v>
      </c>
      <c r="I64" s="417">
        <f t="shared" si="1"/>
        <v>1214.1160415999998</v>
      </c>
      <c r="J64" s="354">
        <v>324.39</v>
      </c>
      <c r="K64" s="355"/>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6"/>
      <c r="CW64" s="356"/>
      <c r="CX64" s="356"/>
      <c r="CY64" s="356"/>
      <c r="CZ64" s="356"/>
      <c r="DA64" s="356"/>
      <c r="DB64" s="356"/>
      <c r="DC64" s="356"/>
      <c r="DD64" s="356"/>
      <c r="DE64" s="356"/>
      <c r="DF64" s="356"/>
      <c r="DG64" s="356"/>
      <c r="DH64" s="356"/>
      <c r="DI64" s="356"/>
      <c r="DJ64" s="356"/>
      <c r="DK64" s="356"/>
      <c r="DL64" s="356"/>
      <c r="DM64" s="356"/>
      <c r="DN64" s="356"/>
      <c r="DO64" s="356"/>
      <c r="DP64" s="356"/>
      <c r="DQ64" s="356"/>
      <c r="DR64" s="356"/>
      <c r="DS64" s="356"/>
      <c r="DT64" s="356"/>
      <c r="DU64" s="356"/>
      <c r="DV64" s="356"/>
      <c r="DW64" s="356"/>
      <c r="DX64" s="356"/>
      <c r="DY64" s="356"/>
      <c r="DZ64" s="356"/>
      <c r="EA64" s="356"/>
      <c r="EB64" s="356"/>
      <c r="EC64" s="356"/>
      <c r="ED64" s="356"/>
      <c r="EE64" s="356"/>
      <c r="EF64" s="356"/>
      <c r="EG64" s="356"/>
      <c r="EH64" s="356"/>
      <c r="EI64" s="356"/>
      <c r="EJ64" s="356"/>
      <c r="EK64" s="356"/>
      <c r="EL64" s="356"/>
      <c r="EM64" s="356"/>
      <c r="EN64" s="356"/>
      <c r="EO64" s="356"/>
      <c r="EP64" s="356"/>
      <c r="EQ64" s="356"/>
      <c r="ER64" s="356"/>
      <c r="ES64" s="356"/>
      <c r="ET64" s="356"/>
      <c r="EU64" s="356"/>
      <c r="EV64" s="356"/>
      <c r="EW64" s="356"/>
      <c r="EX64" s="356"/>
      <c r="EY64" s="356"/>
      <c r="EZ64" s="356"/>
      <c r="FA64" s="356"/>
      <c r="FB64" s="356"/>
      <c r="FC64" s="356"/>
      <c r="FD64" s="356"/>
      <c r="FE64" s="356"/>
      <c r="FF64" s="356"/>
      <c r="FG64" s="356"/>
      <c r="FH64" s="356"/>
      <c r="FI64" s="356"/>
      <c r="FJ64" s="356"/>
      <c r="FK64" s="356"/>
      <c r="FL64" s="356"/>
      <c r="FM64" s="356"/>
      <c r="FN64" s="356"/>
      <c r="FO64" s="356"/>
      <c r="FP64" s="356"/>
      <c r="FQ64" s="356"/>
      <c r="FR64" s="356"/>
      <c r="FS64" s="356"/>
      <c r="FT64" s="356"/>
      <c r="FU64" s="356"/>
      <c r="FV64" s="356"/>
      <c r="FW64" s="356"/>
      <c r="FX64" s="356"/>
      <c r="FY64" s="356"/>
      <c r="FZ64" s="356"/>
      <c r="GA64" s="356"/>
      <c r="GB64" s="356"/>
      <c r="GC64" s="356"/>
      <c r="GD64" s="356"/>
      <c r="GE64" s="356"/>
      <c r="GF64" s="356"/>
      <c r="GG64" s="356"/>
      <c r="GH64" s="356"/>
      <c r="GI64" s="356"/>
      <c r="GJ64" s="356"/>
      <c r="GK64" s="356"/>
      <c r="GL64" s="356"/>
      <c r="GM64" s="356"/>
      <c r="GN64" s="356"/>
      <c r="GO64" s="356"/>
      <c r="GP64" s="356"/>
      <c r="GQ64" s="356"/>
      <c r="GR64" s="356"/>
      <c r="GS64" s="356"/>
      <c r="GT64" s="356"/>
      <c r="GU64" s="356"/>
      <c r="GV64" s="356"/>
      <c r="GW64" s="356"/>
      <c r="GX64" s="356"/>
      <c r="GY64" s="356"/>
      <c r="GZ64" s="356"/>
      <c r="HA64" s="356"/>
      <c r="HB64" s="356"/>
      <c r="HC64" s="356"/>
      <c r="HD64" s="356"/>
      <c r="HE64" s="356"/>
      <c r="HF64" s="356"/>
      <c r="HG64" s="356"/>
      <c r="HH64" s="356"/>
      <c r="HI64" s="356"/>
      <c r="HJ64" s="356"/>
      <c r="HK64" s="356"/>
      <c r="HL64" s="356"/>
      <c r="HM64" s="356"/>
      <c r="HN64" s="356"/>
      <c r="HO64" s="356"/>
      <c r="HP64" s="356"/>
      <c r="HQ64" s="356"/>
      <c r="HR64" s="356"/>
      <c r="HS64" s="356"/>
      <c r="HT64" s="356"/>
      <c r="HU64" s="356"/>
      <c r="HV64" s="356"/>
      <c r="HW64" s="356"/>
      <c r="HX64" s="356"/>
      <c r="HY64" s="356"/>
      <c r="HZ64" s="356"/>
      <c r="IA64" s="356"/>
      <c r="IB64" s="356"/>
      <c r="IC64" s="356"/>
      <c r="ID64" s="356"/>
      <c r="IE64" s="356"/>
      <c r="IF64" s="356"/>
      <c r="IG64" s="356"/>
      <c r="IH64" s="356"/>
      <c r="II64" s="356"/>
      <c r="IJ64" s="356"/>
      <c r="IK64" s="356"/>
      <c r="IL64" s="356"/>
      <c r="IM64" s="356"/>
      <c r="IN64" s="356"/>
      <c r="IO64" s="356"/>
      <c r="IP64" s="356"/>
      <c r="IQ64" s="356"/>
      <c r="IR64" s="356"/>
      <c r="IS64" s="356"/>
      <c r="IT64" s="356"/>
      <c r="IU64" s="356"/>
      <c r="IV64" s="356"/>
    </row>
    <row r="65" spans="1:256" s="357" customFormat="1" ht="35.25" customHeight="1">
      <c r="A65" s="353"/>
      <c r="B65" s="623" t="s">
        <v>157</v>
      </c>
      <c r="C65" s="409" t="s">
        <v>1744</v>
      </c>
      <c r="D65" s="408" t="s">
        <v>105</v>
      </c>
      <c r="E65" s="408" t="s">
        <v>106</v>
      </c>
      <c r="F65" s="408">
        <v>6</v>
      </c>
      <c r="G65" s="408">
        <v>110.28</v>
      </c>
      <c r="H65" s="482">
        <f t="shared" si="2"/>
        <v>661.6800000000001</v>
      </c>
      <c r="I65" s="417">
        <f t="shared" si="1"/>
        <v>832.7904480000001</v>
      </c>
      <c r="J65" s="354">
        <v>95.66</v>
      </c>
      <c r="K65" s="355"/>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6"/>
      <c r="CW65" s="356"/>
      <c r="CX65" s="356"/>
      <c r="CY65" s="356"/>
      <c r="CZ65" s="356"/>
      <c r="DA65" s="356"/>
      <c r="DB65" s="356"/>
      <c r="DC65" s="356"/>
      <c r="DD65" s="356"/>
      <c r="DE65" s="356"/>
      <c r="DF65" s="356"/>
      <c r="DG65" s="356"/>
      <c r="DH65" s="356"/>
      <c r="DI65" s="356"/>
      <c r="DJ65" s="356"/>
      <c r="DK65" s="356"/>
      <c r="DL65" s="356"/>
      <c r="DM65" s="356"/>
      <c r="DN65" s="356"/>
      <c r="DO65" s="356"/>
      <c r="DP65" s="356"/>
      <c r="DQ65" s="356"/>
      <c r="DR65" s="356"/>
      <c r="DS65" s="356"/>
      <c r="DT65" s="356"/>
      <c r="DU65" s="356"/>
      <c r="DV65" s="356"/>
      <c r="DW65" s="356"/>
      <c r="DX65" s="356"/>
      <c r="DY65" s="356"/>
      <c r="DZ65" s="356"/>
      <c r="EA65" s="356"/>
      <c r="EB65" s="356"/>
      <c r="EC65" s="356"/>
      <c r="ED65" s="356"/>
      <c r="EE65" s="356"/>
      <c r="EF65" s="356"/>
      <c r="EG65" s="356"/>
      <c r="EH65" s="356"/>
      <c r="EI65" s="356"/>
      <c r="EJ65" s="356"/>
      <c r="EK65" s="356"/>
      <c r="EL65" s="356"/>
      <c r="EM65" s="356"/>
      <c r="EN65" s="356"/>
      <c r="EO65" s="356"/>
      <c r="EP65" s="356"/>
      <c r="EQ65" s="356"/>
      <c r="ER65" s="356"/>
      <c r="ES65" s="356"/>
      <c r="ET65" s="356"/>
      <c r="EU65" s="356"/>
      <c r="EV65" s="356"/>
      <c r="EW65" s="356"/>
      <c r="EX65" s="356"/>
      <c r="EY65" s="356"/>
      <c r="EZ65" s="356"/>
      <c r="FA65" s="356"/>
      <c r="FB65" s="356"/>
      <c r="FC65" s="356"/>
      <c r="FD65" s="356"/>
      <c r="FE65" s="356"/>
      <c r="FF65" s="356"/>
      <c r="FG65" s="356"/>
      <c r="FH65" s="356"/>
      <c r="FI65" s="356"/>
      <c r="FJ65" s="356"/>
      <c r="FK65" s="356"/>
      <c r="FL65" s="356"/>
      <c r="FM65" s="356"/>
      <c r="FN65" s="356"/>
      <c r="FO65" s="356"/>
      <c r="FP65" s="356"/>
      <c r="FQ65" s="356"/>
      <c r="FR65" s="356"/>
      <c r="FS65" s="356"/>
      <c r="FT65" s="356"/>
      <c r="FU65" s="356"/>
      <c r="FV65" s="356"/>
      <c r="FW65" s="356"/>
      <c r="FX65" s="356"/>
      <c r="FY65" s="356"/>
      <c r="FZ65" s="356"/>
      <c r="GA65" s="356"/>
      <c r="GB65" s="356"/>
      <c r="GC65" s="356"/>
      <c r="GD65" s="356"/>
      <c r="GE65" s="356"/>
      <c r="GF65" s="356"/>
      <c r="GG65" s="356"/>
      <c r="GH65" s="356"/>
      <c r="GI65" s="356"/>
      <c r="GJ65" s="356"/>
      <c r="GK65" s="356"/>
      <c r="GL65" s="356"/>
      <c r="GM65" s="356"/>
      <c r="GN65" s="356"/>
      <c r="GO65" s="356"/>
      <c r="GP65" s="356"/>
      <c r="GQ65" s="356"/>
      <c r="GR65" s="356"/>
      <c r="GS65" s="356"/>
      <c r="GT65" s="356"/>
      <c r="GU65" s="356"/>
      <c r="GV65" s="356"/>
      <c r="GW65" s="356"/>
      <c r="GX65" s="356"/>
      <c r="GY65" s="356"/>
      <c r="GZ65" s="356"/>
      <c r="HA65" s="356"/>
      <c r="HB65" s="356"/>
      <c r="HC65" s="356"/>
      <c r="HD65" s="356"/>
      <c r="HE65" s="356"/>
      <c r="HF65" s="356"/>
      <c r="HG65" s="356"/>
      <c r="HH65" s="356"/>
      <c r="HI65" s="356"/>
      <c r="HJ65" s="356"/>
      <c r="HK65" s="356"/>
      <c r="HL65" s="356"/>
      <c r="HM65" s="356"/>
      <c r="HN65" s="356"/>
      <c r="HO65" s="356"/>
      <c r="HP65" s="356"/>
      <c r="HQ65" s="356"/>
      <c r="HR65" s="356"/>
      <c r="HS65" s="356"/>
      <c r="HT65" s="356"/>
      <c r="HU65" s="356"/>
      <c r="HV65" s="356"/>
      <c r="HW65" s="356"/>
      <c r="HX65" s="356"/>
      <c r="HY65" s="356"/>
      <c r="HZ65" s="356"/>
      <c r="IA65" s="356"/>
      <c r="IB65" s="356"/>
      <c r="IC65" s="356"/>
      <c r="ID65" s="356"/>
      <c r="IE65" s="356"/>
      <c r="IF65" s="356"/>
      <c r="IG65" s="356"/>
      <c r="IH65" s="356"/>
      <c r="II65" s="356"/>
      <c r="IJ65" s="356"/>
      <c r="IK65" s="356"/>
      <c r="IL65" s="356"/>
      <c r="IM65" s="356"/>
      <c r="IN65" s="356"/>
      <c r="IO65" s="356"/>
      <c r="IP65" s="356"/>
      <c r="IQ65" s="356"/>
      <c r="IR65" s="356"/>
      <c r="IS65" s="356"/>
      <c r="IT65" s="356"/>
      <c r="IU65" s="356"/>
      <c r="IV65" s="356"/>
    </row>
    <row r="66" spans="1:256" s="357" customFormat="1" ht="35.25" customHeight="1">
      <c r="A66" s="364"/>
      <c r="B66" s="623" t="s">
        <v>160</v>
      </c>
      <c r="C66" s="409" t="s">
        <v>1745</v>
      </c>
      <c r="D66" s="409" t="s">
        <v>156</v>
      </c>
      <c r="E66" s="410" t="s">
        <v>26</v>
      </c>
      <c r="F66" s="411">
        <f>1.3*15</f>
        <v>19.5</v>
      </c>
      <c r="G66" s="412">
        <v>215.48</v>
      </c>
      <c r="H66" s="482">
        <f t="shared" si="2"/>
        <v>4201.86</v>
      </c>
      <c r="I66" s="417">
        <f t="shared" si="1"/>
        <v>5288.460995999999</v>
      </c>
      <c r="J66" s="354">
        <v>170.64</v>
      </c>
      <c r="K66" s="355"/>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6"/>
      <c r="BN66" s="356"/>
      <c r="BO66" s="356"/>
      <c r="BP66" s="356"/>
      <c r="BQ66" s="356"/>
      <c r="BR66" s="356"/>
      <c r="BS66" s="356"/>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356"/>
      <c r="CZ66" s="356"/>
      <c r="DA66" s="356"/>
      <c r="DB66" s="356"/>
      <c r="DC66" s="356"/>
      <c r="DD66" s="356"/>
      <c r="DE66" s="356"/>
      <c r="DF66" s="356"/>
      <c r="DG66" s="356"/>
      <c r="DH66" s="356"/>
      <c r="DI66" s="356"/>
      <c r="DJ66" s="356"/>
      <c r="DK66" s="356"/>
      <c r="DL66" s="356"/>
      <c r="DM66" s="356"/>
      <c r="DN66" s="356"/>
      <c r="DO66" s="356"/>
      <c r="DP66" s="356"/>
      <c r="DQ66" s="356"/>
      <c r="DR66" s="356"/>
      <c r="DS66" s="356"/>
      <c r="DT66" s="356"/>
      <c r="DU66" s="356"/>
      <c r="DV66" s="356"/>
      <c r="DW66" s="356"/>
      <c r="DX66" s="356"/>
      <c r="DY66" s="356"/>
      <c r="DZ66" s="356"/>
      <c r="EA66" s="356"/>
      <c r="EB66" s="356"/>
      <c r="EC66" s="356"/>
      <c r="ED66" s="356"/>
      <c r="EE66" s="356"/>
      <c r="EF66" s="356"/>
      <c r="EG66" s="356"/>
      <c r="EH66" s="356"/>
      <c r="EI66" s="356"/>
      <c r="EJ66" s="356"/>
      <c r="EK66" s="356"/>
      <c r="EL66" s="356"/>
      <c r="EM66" s="356"/>
      <c r="EN66" s="356"/>
      <c r="EO66" s="356"/>
      <c r="EP66" s="356"/>
      <c r="EQ66" s="356"/>
      <c r="ER66" s="356"/>
      <c r="ES66" s="356"/>
      <c r="ET66" s="356"/>
      <c r="EU66" s="356"/>
      <c r="EV66" s="356"/>
      <c r="EW66" s="356"/>
      <c r="EX66" s="356"/>
      <c r="EY66" s="356"/>
      <c r="EZ66" s="356"/>
      <c r="FA66" s="356"/>
      <c r="FB66" s="356"/>
      <c r="FC66" s="356"/>
      <c r="FD66" s="356"/>
      <c r="FE66" s="356"/>
      <c r="FF66" s="356"/>
      <c r="FG66" s="356"/>
      <c r="FH66" s="356"/>
      <c r="FI66" s="356"/>
      <c r="FJ66" s="356"/>
      <c r="FK66" s="356"/>
      <c r="FL66" s="356"/>
      <c r="FM66" s="356"/>
      <c r="FN66" s="356"/>
      <c r="FO66" s="356"/>
      <c r="FP66" s="356"/>
      <c r="FQ66" s="356"/>
      <c r="FR66" s="356"/>
      <c r="FS66" s="356"/>
      <c r="FT66" s="356"/>
      <c r="FU66" s="356"/>
      <c r="FV66" s="356"/>
      <c r="FW66" s="356"/>
      <c r="FX66" s="356"/>
      <c r="FY66" s="356"/>
      <c r="FZ66" s="356"/>
      <c r="GA66" s="356"/>
      <c r="GB66" s="356"/>
      <c r="GC66" s="356"/>
      <c r="GD66" s="356"/>
      <c r="GE66" s="356"/>
      <c r="GF66" s="356"/>
      <c r="GG66" s="356"/>
      <c r="GH66" s="356"/>
      <c r="GI66" s="356"/>
      <c r="GJ66" s="356"/>
      <c r="GK66" s="356"/>
      <c r="GL66" s="356"/>
      <c r="GM66" s="356"/>
      <c r="GN66" s="356"/>
      <c r="GO66" s="356"/>
      <c r="GP66" s="356"/>
      <c r="GQ66" s="356"/>
      <c r="GR66" s="356"/>
      <c r="GS66" s="356"/>
      <c r="GT66" s="356"/>
      <c r="GU66" s="356"/>
      <c r="GV66" s="356"/>
      <c r="GW66" s="356"/>
      <c r="GX66" s="356"/>
      <c r="GY66" s="356"/>
      <c r="GZ66" s="356"/>
      <c r="HA66" s="356"/>
      <c r="HB66" s="356"/>
      <c r="HC66" s="356"/>
      <c r="HD66" s="356"/>
      <c r="HE66" s="356"/>
      <c r="HF66" s="356"/>
      <c r="HG66" s="356"/>
      <c r="HH66" s="356"/>
      <c r="HI66" s="356"/>
      <c r="HJ66" s="356"/>
      <c r="HK66" s="356"/>
      <c r="HL66" s="356"/>
      <c r="HM66" s="356"/>
      <c r="HN66" s="356"/>
      <c r="HO66" s="356"/>
      <c r="HP66" s="356"/>
      <c r="HQ66" s="356"/>
      <c r="HR66" s="356"/>
      <c r="HS66" s="356"/>
      <c r="HT66" s="356"/>
      <c r="HU66" s="356"/>
      <c r="HV66" s="356"/>
      <c r="HW66" s="356"/>
      <c r="HX66" s="356"/>
      <c r="HY66" s="356"/>
      <c r="HZ66" s="356"/>
      <c r="IA66" s="356"/>
      <c r="IB66" s="356"/>
      <c r="IC66" s="356"/>
      <c r="ID66" s="356"/>
      <c r="IE66" s="356"/>
      <c r="IF66" s="356"/>
      <c r="IG66" s="356"/>
      <c r="IH66" s="356"/>
      <c r="II66" s="356"/>
      <c r="IJ66" s="356"/>
      <c r="IK66" s="356"/>
      <c r="IL66" s="356"/>
      <c r="IM66" s="356"/>
      <c r="IN66" s="356"/>
      <c r="IO66" s="356"/>
      <c r="IP66" s="356"/>
      <c r="IQ66" s="356"/>
      <c r="IR66" s="356"/>
      <c r="IS66" s="356"/>
      <c r="IT66" s="356"/>
      <c r="IU66" s="356"/>
      <c r="IV66" s="356"/>
    </row>
    <row r="67" spans="1:256" s="357" customFormat="1" ht="25.5">
      <c r="A67" s="364"/>
      <c r="B67" s="623" t="s">
        <v>154</v>
      </c>
      <c r="C67" s="408" t="s">
        <v>158</v>
      </c>
      <c r="D67" s="408" t="s">
        <v>159</v>
      </c>
      <c r="E67" s="410" t="s">
        <v>26</v>
      </c>
      <c r="F67" s="411">
        <f>1.3*15</f>
        <v>19.5</v>
      </c>
      <c r="G67" s="412">
        <f>COMPOSIÇÕES!F295</f>
        <v>90.03033699999997</v>
      </c>
      <c r="H67" s="482">
        <f t="shared" si="2"/>
        <v>1755.5915714999994</v>
      </c>
      <c r="I67" s="417">
        <f t="shared" si="1"/>
        <v>2209.5875518898993</v>
      </c>
      <c r="J67" s="354">
        <v>91.162198</v>
      </c>
      <c r="K67" s="355"/>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6"/>
      <c r="BG67" s="356"/>
      <c r="BH67" s="356"/>
      <c r="BI67" s="356"/>
      <c r="BJ67" s="356"/>
      <c r="BK67" s="356"/>
      <c r="BL67" s="356"/>
      <c r="BM67" s="356"/>
      <c r="BN67" s="356"/>
      <c r="BO67" s="356"/>
      <c r="BP67" s="356"/>
      <c r="BQ67" s="356"/>
      <c r="BR67" s="356"/>
      <c r="BS67" s="356"/>
      <c r="BT67" s="356"/>
      <c r="BU67" s="356"/>
      <c r="BV67" s="356"/>
      <c r="BW67" s="356"/>
      <c r="BX67" s="356"/>
      <c r="BY67" s="356"/>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6"/>
      <c r="CW67" s="356"/>
      <c r="CX67" s="356"/>
      <c r="CY67" s="356"/>
      <c r="CZ67" s="356"/>
      <c r="DA67" s="356"/>
      <c r="DB67" s="356"/>
      <c r="DC67" s="356"/>
      <c r="DD67" s="356"/>
      <c r="DE67" s="356"/>
      <c r="DF67" s="356"/>
      <c r="DG67" s="356"/>
      <c r="DH67" s="356"/>
      <c r="DI67" s="356"/>
      <c r="DJ67" s="356"/>
      <c r="DK67" s="356"/>
      <c r="DL67" s="356"/>
      <c r="DM67" s="356"/>
      <c r="DN67" s="356"/>
      <c r="DO67" s="356"/>
      <c r="DP67" s="356"/>
      <c r="DQ67" s="356"/>
      <c r="DR67" s="356"/>
      <c r="DS67" s="356"/>
      <c r="DT67" s="356"/>
      <c r="DU67" s="356"/>
      <c r="DV67" s="356"/>
      <c r="DW67" s="356"/>
      <c r="DX67" s="356"/>
      <c r="DY67" s="356"/>
      <c r="DZ67" s="356"/>
      <c r="EA67" s="356"/>
      <c r="EB67" s="356"/>
      <c r="EC67" s="356"/>
      <c r="ED67" s="356"/>
      <c r="EE67" s="356"/>
      <c r="EF67" s="356"/>
      <c r="EG67" s="356"/>
      <c r="EH67" s="356"/>
      <c r="EI67" s="356"/>
      <c r="EJ67" s="356"/>
      <c r="EK67" s="356"/>
      <c r="EL67" s="356"/>
      <c r="EM67" s="356"/>
      <c r="EN67" s="356"/>
      <c r="EO67" s="356"/>
      <c r="EP67" s="356"/>
      <c r="EQ67" s="356"/>
      <c r="ER67" s="356"/>
      <c r="ES67" s="356"/>
      <c r="ET67" s="356"/>
      <c r="EU67" s="356"/>
      <c r="EV67" s="356"/>
      <c r="EW67" s="356"/>
      <c r="EX67" s="356"/>
      <c r="EY67" s="356"/>
      <c r="EZ67" s="356"/>
      <c r="FA67" s="356"/>
      <c r="FB67" s="356"/>
      <c r="FC67" s="356"/>
      <c r="FD67" s="356"/>
      <c r="FE67" s="356"/>
      <c r="FF67" s="356"/>
      <c r="FG67" s="356"/>
      <c r="FH67" s="356"/>
      <c r="FI67" s="356"/>
      <c r="FJ67" s="356"/>
      <c r="FK67" s="356"/>
      <c r="FL67" s="356"/>
      <c r="FM67" s="356"/>
      <c r="FN67" s="356"/>
      <c r="FO67" s="356"/>
      <c r="FP67" s="356"/>
      <c r="FQ67" s="356"/>
      <c r="FR67" s="356"/>
      <c r="FS67" s="356"/>
      <c r="FT67" s="356"/>
      <c r="FU67" s="356"/>
      <c r="FV67" s="356"/>
      <c r="FW67" s="356"/>
      <c r="FX67" s="356"/>
      <c r="FY67" s="356"/>
      <c r="FZ67" s="356"/>
      <c r="GA67" s="356"/>
      <c r="GB67" s="356"/>
      <c r="GC67" s="356"/>
      <c r="GD67" s="356"/>
      <c r="GE67" s="356"/>
      <c r="GF67" s="356"/>
      <c r="GG67" s="356"/>
      <c r="GH67" s="356"/>
      <c r="GI67" s="356"/>
      <c r="GJ67" s="356"/>
      <c r="GK67" s="356"/>
      <c r="GL67" s="356"/>
      <c r="GM67" s="356"/>
      <c r="GN67" s="356"/>
      <c r="GO67" s="356"/>
      <c r="GP67" s="356"/>
      <c r="GQ67" s="356"/>
      <c r="GR67" s="356"/>
      <c r="GS67" s="356"/>
      <c r="GT67" s="356"/>
      <c r="GU67" s="356"/>
      <c r="GV67" s="356"/>
      <c r="GW67" s="356"/>
      <c r="GX67" s="356"/>
      <c r="GY67" s="356"/>
      <c r="GZ67" s="356"/>
      <c r="HA67" s="356"/>
      <c r="HB67" s="356"/>
      <c r="HC67" s="356"/>
      <c r="HD67" s="356"/>
      <c r="HE67" s="356"/>
      <c r="HF67" s="356"/>
      <c r="HG67" s="356"/>
      <c r="HH67" s="356"/>
      <c r="HI67" s="356"/>
      <c r="HJ67" s="356"/>
      <c r="HK67" s="356"/>
      <c r="HL67" s="356"/>
      <c r="HM67" s="356"/>
      <c r="HN67" s="356"/>
      <c r="HO67" s="356"/>
      <c r="HP67" s="356"/>
      <c r="HQ67" s="356"/>
      <c r="HR67" s="356"/>
      <c r="HS67" s="356"/>
      <c r="HT67" s="356"/>
      <c r="HU67" s="356"/>
      <c r="HV67" s="356"/>
      <c r="HW67" s="356"/>
      <c r="HX67" s="356"/>
      <c r="HY67" s="356"/>
      <c r="HZ67" s="356"/>
      <c r="IA67" s="356"/>
      <c r="IB67" s="356"/>
      <c r="IC67" s="356"/>
      <c r="ID67" s="356"/>
      <c r="IE67" s="356"/>
      <c r="IF67" s="356"/>
      <c r="IG67" s="356"/>
      <c r="IH67" s="356"/>
      <c r="II67" s="356"/>
      <c r="IJ67" s="356"/>
      <c r="IK67" s="356"/>
      <c r="IL67" s="356"/>
      <c r="IM67" s="356"/>
      <c r="IN67" s="356"/>
      <c r="IO67" s="356"/>
      <c r="IP67" s="356"/>
      <c r="IQ67" s="356"/>
      <c r="IR67" s="356"/>
      <c r="IS67" s="356"/>
      <c r="IT67" s="356"/>
      <c r="IU67" s="356"/>
      <c r="IV67" s="356"/>
    </row>
    <row r="68" spans="1:256" s="357" customFormat="1" ht="15.75">
      <c r="A68" s="364"/>
      <c r="B68" s="623" t="s">
        <v>180</v>
      </c>
      <c r="C68" s="409" t="s">
        <v>161</v>
      </c>
      <c r="D68" s="409" t="s">
        <v>162</v>
      </c>
      <c r="E68" s="410" t="s">
        <v>133</v>
      </c>
      <c r="F68" s="411">
        <v>15</v>
      </c>
      <c r="G68" s="412">
        <v>25.65</v>
      </c>
      <c r="H68" s="482">
        <f t="shared" si="2"/>
        <v>384.75</v>
      </c>
      <c r="I68" s="417">
        <f t="shared" si="1"/>
        <v>484.24634999999995</v>
      </c>
      <c r="J68" s="354">
        <v>26.49</v>
      </c>
      <c r="K68" s="355"/>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6"/>
      <c r="FQ68" s="356"/>
      <c r="FR68" s="356"/>
      <c r="FS68" s="356"/>
      <c r="FT68" s="356"/>
      <c r="FU68" s="356"/>
      <c r="FV68" s="356"/>
      <c r="FW68" s="356"/>
      <c r="FX68" s="356"/>
      <c r="FY68" s="356"/>
      <c r="FZ68" s="356"/>
      <c r="GA68" s="356"/>
      <c r="GB68" s="356"/>
      <c r="GC68" s="356"/>
      <c r="GD68" s="356"/>
      <c r="GE68" s="356"/>
      <c r="GF68" s="356"/>
      <c r="GG68" s="356"/>
      <c r="GH68" s="356"/>
      <c r="GI68" s="356"/>
      <c r="GJ68" s="356"/>
      <c r="GK68" s="356"/>
      <c r="GL68" s="356"/>
      <c r="GM68" s="356"/>
      <c r="GN68" s="356"/>
      <c r="GO68" s="356"/>
      <c r="GP68" s="356"/>
      <c r="GQ68" s="356"/>
      <c r="GR68" s="356"/>
      <c r="GS68" s="356"/>
      <c r="GT68" s="356"/>
      <c r="GU68" s="356"/>
      <c r="GV68" s="356"/>
      <c r="GW68" s="356"/>
      <c r="GX68" s="356"/>
      <c r="GY68" s="356"/>
      <c r="GZ68" s="356"/>
      <c r="HA68" s="356"/>
      <c r="HB68" s="356"/>
      <c r="HC68" s="356"/>
      <c r="HD68" s="356"/>
      <c r="HE68" s="356"/>
      <c r="HF68" s="356"/>
      <c r="HG68" s="356"/>
      <c r="HH68" s="356"/>
      <c r="HI68" s="356"/>
      <c r="HJ68" s="356"/>
      <c r="HK68" s="356"/>
      <c r="HL68" s="356"/>
      <c r="HM68" s="356"/>
      <c r="HN68" s="356"/>
      <c r="HO68" s="356"/>
      <c r="HP68" s="356"/>
      <c r="HQ68" s="356"/>
      <c r="HR68" s="356"/>
      <c r="HS68" s="356"/>
      <c r="HT68" s="356"/>
      <c r="HU68" s="356"/>
      <c r="HV68" s="356"/>
      <c r="HW68" s="356"/>
      <c r="HX68" s="356"/>
      <c r="HY68" s="356"/>
      <c r="HZ68" s="356"/>
      <c r="IA68" s="356"/>
      <c r="IB68" s="356"/>
      <c r="IC68" s="356"/>
      <c r="ID68" s="356"/>
      <c r="IE68" s="356"/>
      <c r="IF68" s="356"/>
      <c r="IG68" s="356"/>
      <c r="IH68" s="356"/>
      <c r="II68" s="356"/>
      <c r="IJ68" s="356"/>
      <c r="IK68" s="356"/>
      <c r="IL68" s="356"/>
      <c r="IM68" s="356"/>
      <c r="IN68" s="356"/>
      <c r="IO68" s="356"/>
      <c r="IP68" s="356"/>
      <c r="IQ68" s="356"/>
      <c r="IR68" s="356"/>
      <c r="IS68" s="356"/>
      <c r="IT68" s="356"/>
      <c r="IU68" s="356"/>
      <c r="IV68" s="356"/>
    </row>
    <row r="69" spans="1:256" s="357" customFormat="1" ht="15.75">
      <c r="A69" s="364"/>
      <c r="B69" s="623" t="s">
        <v>183</v>
      </c>
      <c r="C69" s="413" t="s">
        <v>371</v>
      </c>
      <c r="D69" s="414" t="s">
        <v>372</v>
      </c>
      <c r="E69" s="430" t="s">
        <v>26</v>
      </c>
      <c r="F69" s="431">
        <v>139.37</v>
      </c>
      <c r="G69" s="432">
        <v>58.62</v>
      </c>
      <c r="H69" s="483">
        <f>'ADITIVO - PLANILHA ORÇAMETARIA '!G69*'ADITIVO - PLANILHA ORÇAMETARIA '!F69</f>
        <v>8169.8694</v>
      </c>
      <c r="I69" s="417">
        <f t="shared" si="1"/>
        <v>10282.597626839999</v>
      </c>
      <c r="J69" s="354">
        <v>56.66</v>
      </c>
      <c r="K69" s="355"/>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356"/>
      <c r="CZ69" s="356"/>
      <c r="DA69" s="356"/>
      <c r="DB69" s="356"/>
      <c r="DC69" s="356"/>
      <c r="DD69" s="356"/>
      <c r="DE69" s="356"/>
      <c r="DF69" s="356"/>
      <c r="DG69" s="356"/>
      <c r="DH69" s="356"/>
      <c r="DI69" s="356"/>
      <c r="DJ69" s="356"/>
      <c r="DK69" s="356"/>
      <c r="DL69" s="356"/>
      <c r="DM69" s="356"/>
      <c r="DN69" s="356"/>
      <c r="DO69" s="356"/>
      <c r="DP69" s="356"/>
      <c r="DQ69" s="356"/>
      <c r="DR69" s="356"/>
      <c r="DS69" s="356"/>
      <c r="DT69" s="356"/>
      <c r="DU69" s="356"/>
      <c r="DV69" s="356"/>
      <c r="DW69" s="356"/>
      <c r="DX69" s="356"/>
      <c r="DY69" s="356"/>
      <c r="DZ69" s="356"/>
      <c r="EA69" s="356"/>
      <c r="EB69" s="356"/>
      <c r="EC69" s="356"/>
      <c r="ED69" s="356"/>
      <c r="EE69" s="356"/>
      <c r="EF69" s="356"/>
      <c r="EG69" s="356"/>
      <c r="EH69" s="356"/>
      <c r="EI69" s="356"/>
      <c r="EJ69" s="356"/>
      <c r="EK69" s="356"/>
      <c r="EL69" s="356"/>
      <c r="EM69" s="356"/>
      <c r="EN69" s="356"/>
      <c r="EO69" s="356"/>
      <c r="EP69" s="356"/>
      <c r="EQ69" s="356"/>
      <c r="ER69" s="356"/>
      <c r="ES69" s="356"/>
      <c r="ET69" s="356"/>
      <c r="EU69" s="356"/>
      <c r="EV69" s="356"/>
      <c r="EW69" s="356"/>
      <c r="EX69" s="356"/>
      <c r="EY69" s="356"/>
      <c r="EZ69" s="356"/>
      <c r="FA69" s="356"/>
      <c r="FB69" s="356"/>
      <c r="FC69" s="356"/>
      <c r="FD69" s="356"/>
      <c r="FE69" s="356"/>
      <c r="FF69" s="356"/>
      <c r="FG69" s="356"/>
      <c r="FH69" s="356"/>
      <c r="FI69" s="356"/>
      <c r="FJ69" s="356"/>
      <c r="FK69" s="356"/>
      <c r="FL69" s="356"/>
      <c r="FM69" s="356"/>
      <c r="FN69" s="356"/>
      <c r="FO69" s="356"/>
      <c r="FP69" s="356"/>
      <c r="FQ69" s="356"/>
      <c r="FR69" s="356"/>
      <c r="FS69" s="356"/>
      <c r="FT69" s="356"/>
      <c r="FU69" s="356"/>
      <c r="FV69" s="356"/>
      <c r="FW69" s="356"/>
      <c r="FX69" s="356"/>
      <c r="FY69" s="356"/>
      <c r="FZ69" s="356"/>
      <c r="GA69" s="356"/>
      <c r="GB69" s="356"/>
      <c r="GC69" s="356"/>
      <c r="GD69" s="356"/>
      <c r="GE69" s="356"/>
      <c r="GF69" s="356"/>
      <c r="GG69" s="356"/>
      <c r="GH69" s="356"/>
      <c r="GI69" s="356"/>
      <c r="GJ69" s="356"/>
      <c r="GK69" s="356"/>
      <c r="GL69" s="356"/>
      <c r="GM69" s="356"/>
      <c r="GN69" s="356"/>
      <c r="GO69" s="356"/>
      <c r="GP69" s="356"/>
      <c r="GQ69" s="356"/>
      <c r="GR69" s="356"/>
      <c r="GS69" s="356"/>
      <c r="GT69" s="356"/>
      <c r="GU69" s="356"/>
      <c r="GV69" s="356"/>
      <c r="GW69" s="356"/>
      <c r="GX69" s="356"/>
      <c r="GY69" s="356"/>
      <c r="GZ69" s="356"/>
      <c r="HA69" s="356"/>
      <c r="HB69" s="356"/>
      <c r="HC69" s="356"/>
      <c r="HD69" s="356"/>
      <c r="HE69" s="356"/>
      <c r="HF69" s="356"/>
      <c r="HG69" s="356"/>
      <c r="HH69" s="356"/>
      <c r="HI69" s="356"/>
      <c r="HJ69" s="356"/>
      <c r="HK69" s="356"/>
      <c r="HL69" s="356"/>
      <c r="HM69" s="356"/>
      <c r="HN69" s="356"/>
      <c r="HO69" s="356"/>
      <c r="HP69" s="356"/>
      <c r="HQ69" s="356"/>
      <c r="HR69" s="356"/>
      <c r="HS69" s="356"/>
      <c r="HT69" s="356"/>
      <c r="HU69" s="356"/>
      <c r="HV69" s="356"/>
      <c r="HW69" s="356"/>
      <c r="HX69" s="356"/>
      <c r="HY69" s="356"/>
      <c r="HZ69" s="356"/>
      <c r="IA69" s="356"/>
      <c r="IB69" s="356"/>
      <c r="IC69" s="356"/>
      <c r="ID69" s="356"/>
      <c r="IE69" s="356"/>
      <c r="IF69" s="356"/>
      <c r="IG69" s="356"/>
      <c r="IH69" s="356"/>
      <c r="II69" s="356"/>
      <c r="IJ69" s="356"/>
      <c r="IK69" s="356"/>
      <c r="IL69" s="356"/>
      <c r="IM69" s="356"/>
      <c r="IN69" s="356"/>
      <c r="IO69" s="356"/>
      <c r="IP69" s="356"/>
      <c r="IQ69" s="356"/>
      <c r="IR69" s="356"/>
      <c r="IS69" s="356"/>
      <c r="IT69" s="356"/>
      <c r="IU69" s="356"/>
      <c r="IV69" s="356"/>
    </row>
    <row r="70" spans="1:256" s="357" customFormat="1" ht="15.75">
      <c r="A70" s="364"/>
      <c r="B70" s="623" t="s">
        <v>186</v>
      </c>
      <c r="C70" s="414" t="s">
        <v>373</v>
      </c>
      <c r="D70" s="419" t="s">
        <v>374</v>
      </c>
      <c r="E70" s="430" t="s">
        <v>26</v>
      </c>
      <c r="F70" s="413">
        <v>139.37</v>
      </c>
      <c r="G70" s="416">
        <v>8.03</v>
      </c>
      <c r="H70" s="483">
        <f>'ADITIVO - PLANILHA ORÇAMETARIA '!G70*'ADITIVO - PLANILHA ORÇAMETARIA '!F70</f>
        <v>1119.1411</v>
      </c>
      <c r="I70" s="417">
        <f t="shared" si="1"/>
        <v>1408.55098846</v>
      </c>
      <c r="J70" s="354">
        <v>7.75</v>
      </c>
      <c r="K70" s="355"/>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6"/>
      <c r="BP70" s="356"/>
      <c r="BQ70" s="356"/>
      <c r="BR70" s="356"/>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6"/>
      <c r="CX70" s="356"/>
      <c r="CY70" s="356"/>
      <c r="CZ70" s="356"/>
      <c r="DA70" s="356"/>
      <c r="DB70" s="356"/>
      <c r="DC70" s="356"/>
      <c r="DD70" s="356"/>
      <c r="DE70" s="356"/>
      <c r="DF70" s="356"/>
      <c r="DG70" s="356"/>
      <c r="DH70" s="356"/>
      <c r="DI70" s="356"/>
      <c r="DJ70" s="356"/>
      <c r="DK70" s="356"/>
      <c r="DL70" s="356"/>
      <c r="DM70" s="356"/>
      <c r="DN70" s="356"/>
      <c r="DO70" s="356"/>
      <c r="DP70" s="356"/>
      <c r="DQ70" s="356"/>
      <c r="DR70" s="356"/>
      <c r="DS70" s="356"/>
      <c r="DT70" s="356"/>
      <c r="DU70" s="356"/>
      <c r="DV70" s="356"/>
      <c r="DW70" s="356"/>
      <c r="DX70" s="356"/>
      <c r="DY70" s="356"/>
      <c r="DZ70" s="356"/>
      <c r="EA70" s="356"/>
      <c r="EB70" s="356"/>
      <c r="EC70" s="356"/>
      <c r="ED70" s="356"/>
      <c r="EE70" s="356"/>
      <c r="EF70" s="356"/>
      <c r="EG70" s="356"/>
      <c r="EH70" s="356"/>
      <c r="EI70" s="356"/>
      <c r="EJ70" s="356"/>
      <c r="EK70" s="356"/>
      <c r="EL70" s="356"/>
      <c r="EM70" s="356"/>
      <c r="EN70" s="356"/>
      <c r="EO70" s="356"/>
      <c r="EP70" s="356"/>
      <c r="EQ70" s="356"/>
      <c r="ER70" s="356"/>
      <c r="ES70" s="356"/>
      <c r="ET70" s="356"/>
      <c r="EU70" s="356"/>
      <c r="EV70" s="356"/>
      <c r="EW70" s="356"/>
      <c r="EX70" s="356"/>
      <c r="EY70" s="356"/>
      <c r="EZ70" s="356"/>
      <c r="FA70" s="356"/>
      <c r="FB70" s="356"/>
      <c r="FC70" s="356"/>
      <c r="FD70" s="356"/>
      <c r="FE70" s="356"/>
      <c r="FF70" s="356"/>
      <c r="FG70" s="356"/>
      <c r="FH70" s="356"/>
      <c r="FI70" s="356"/>
      <c r="FJ70" s="356"/>
      <c r="FK70" s="356"/>
      <c r="FL70" s="356"/>
      <c r="FM70" s="356"/>
      <c r="FN70" s="356"/>
      <c r="FO70" s="356"/>
      <c r="FP70" s="356"/>
      <c r="FQ70" s="356"/>
      <c r="FR70" s="356"/>
      <c r="FS70" s="356"/>
      <c r="FT70" s="356"/>
      <c r="FU70" s="356"/>
      <c r="FV70" s="356"/>
      <c r="FW70" s="356"/>
      <c r="FX70" s="356"/>
      <c r="FY70" s="356"/>
      <c r="FZ70" s="356"/>
      <c r="GA70" s="356"/>
      <c r="GB70" s="356"/>
      <c r="GC70" s="356"/>
      <c r="GD70" s="356"/>
      <c r="GE70" s="356"/>
      <c r="GF70" s="356"/>
      <c r="GG70" s="356"/>
      <c r="GH70" s="356"/>
      <c r="GI70" s="356"/>
      <c r="GJ70" s="356"/>
      <c r="GK70" s="356"/>
      <c r="GL70" s="356"/>
      <c r="GM70" s="356"/>
      <c r="GN70" s="356"/>
      <c r="GO70" s="356"/>
      <c r="GP70" s="356"/>
      <c r="GQ70" s="356"/>
      <c r="GR70" s="356"/>
      <c r="GS70" s="356"/>
      <c r="GT70" s="356"/>
      <c r="GU70" s="356"/>
      <c r="GV70" s="356"/>
      <c r="GW70" s="356"/>
      <c r="GX70" s="356"/>
      <c r="GY70" s="356"/>
      <c r="GZ70" s="356"/>
      <c r="HA70" s="356"/>
      <c r="HB70" s="356"/>
      <c r="HC70" s="356"/>
      <c r="HD70" s="356"/>
      <c r="HE70" s="356"/>
      <c r="HF70" s="356"/>
      <c r="HG70" s="356"/>
      <c r="HH70" s="356"/>
      <c r="HI70" s="356"/>
      <c r="HJ70" s="356"/>
      <c r="HK70" s="356"/>
      <c r="HL70" s="356"/>
      <c r="HM70" s="356"/>
      <c r="HN70" s="356"/>
      <c r="HO70" s="356"/>
      <c r="HP70" s="356"/>
      <c r="HQ70" s="356"/>
      <c r="HR70" s="356"/>
      <c r="HS70" s="356"/>
      <c r="HT70" s="356"/>
      <c r="HU70" s="356"/>
      <c r="HV70" s="356"/>
      <c r="HW70" s="356"/>
      <c r="HX70" s="356"/>
      <c r="HY70" s="356"/>
      <c r="HZ70" s="356"/>
      <c r="IA70" s="356"/>
      <c r="IB70" s="356"/>
      <c r="IC70" s="356"/>
      <c r="ID70" s="356"/>
      <c r="IE70" s="356"/>
      <c r="IF70" s="356"/>
      <c r="IG70" s="356"/>
      <c r="IH70" s="356"/>
      <c r="II70" s="356"/>
      <c r="IJ70" s="356"/>
      <c r="IK70" s="356"/>
      <c r="IL70" s="356"/>
      <c r="IM70" s="356"/>
      <c r="IN70" s="356"/>
      <c r="IO70" s="356"/>
      <c r="IP70" s="356"/>
      <c r="IQ70" s="356"/>
      <c r="IR70" s="356"/>
      <c r="IS70" s="356"/>
      <c r="IT70" s="356"/>
      <c r="IU70" s="356"/>
      <c r="IV70" s="356"/>
    </row>
    <row r="71" spans="1:256" s="357" customFormat="1" ht="16.5" thickBot="1">
      <c r="A71" s="364"/>
      <c r="B71" s="623" t="s">
        <v>187</v>
      </c>
      <c r="C71" s="414" t="s">
        <v>375</v>
      </c>
      <c r="D71" s="419" t="s">
        <v>376</v>
      </c>
      <c r="E71" s="415" t="s">
        <v>26</v>
      </c>
      <c r="F71" s="413">
        <v>139.37</v>
      </c>
      <c r="G71" s="416">
        <v>38.41</v>
      </c>
      <c r="H71" s="480">
        <f>'ADITIVO - PLANILHA ORÇAMETARIA '!G71*'ADITIVO - PLANILHA ORÇAMETARIA '!F71</f>
        <v>5353.2017</v>
      </c>
      <c r="I71" s="620">
        <f t="shared" si="1"/>
        <v>6737.539659619999</v>
      </c>
      <c r="J71" s="354">
        <v>38.68</v>
      </c>
      <c r="K71" s="355"/>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6"/>
      <c r="BR71" s="356"/>
      <c r="BS71" s="356"/>
      <c r="BT71" s="356"/>
      <c r="BU71" s="356"/>
      <c r="BV71" s="356"/>
      <c r="BW71" s="356"/>
      <c r="BX71" s="356"/>
      <c r="BY71" s="356"/>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6"/>
      <c r="CW71" s="356"/>
      <c r="CX71" s="356"/>
      <c r="CY71" s="356"/>
      <c r="CZ71" s="356"/>
      <c r="DA71" s="356"/>
      <c r="DB71" s="356"/>
      <c r="DC71" s="356"/>
      <c r="DD71" s="356"/>
      <c r="DE71" s="356"/>
      <c r="DF71" s="356"/>
      <c r="DG71" s="356"/>
      <c r="DH71" s="356"/>
      <c r="DI71" s="356"/>
      <c r="DJ71" s="356"/>
      <c r="DK71" s="356"/>
      <c r="DL71" s="356"/>
      <c r="DM71" s="356"/>
      <c r="DN71" s="356"/>
      <c r="DO71" s="356"/>
      <c r="DP71" s="356"/>
      <c r="DQ71" s="356"/>
      <c r="DR71" s="356"/>
      <c r="DS71" s="356"/>
      <c r="DT71" s="356"/>
      <c r="DU71" s="356"/>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356"/>
      <c r="ES71" s="356"/>
      <c r="ET71" s="356"/>
      <c r="EU71" s="356"/>
      <c r="EV71" s="356"/>
      <c r="EW71" s="356"/>
      <c r="EX71" s="356"/>
      <c r="EY71" s="356"/>
      <c r="EZ71" s="356"/>
      <c r="FA71" s="356"/>
      <c r="FB71" s="356"/>
      <c r="FC71" s="356"/>
      <c r="FD71" s="356"/>
      <c r="FE71" s="356"/>
      <c r="FF71" s="356"/>
      <c r="FG71" s="356"/>
      <c r="FH71" s="356"/>
      <c r="FI71" s="356"/>
      <c r="FJ71" s="356"/>
      <c r="FK71" s="356"/>
      <c r="FL71" s="356"/>
      <c r="FM71" s="356"/>
      <c r="FN71" s="356"/>
      <c r="FO71" s="356"/>
      <c r="FP71" s="356"/>
      <c r="FQ71" s="356"/>
      <c r="FR71" s="356"/>
      <c r="FS71" s="356"/>
      <c r="FT71" s="356"/>
      <c r="FU71" s="356"/>
      <c r="FV71" s="356"/>
      <c r="FW71" s="356"/>
      <c r="FX71" s="356"/>
      <c r="FY71" s="356"/>
      <c r="FZ71" s="356"/>
      <c r="GA71" s="356"/>
      <c r="GB71" s="356"/>
      <c r="GC71" s="356"/>
      <c r="GD71" s="356"/>
      <c r="GE71" s="356"/>
      <c r="GF71" s="356"/>
      <c r="GG71" s="356"/>
      <c r="GH71" s="356"/>
      <c r="GI71" s="356"/>
      <c r="GJ71" s="356"/>
      <c r="GK71" s="356"/>
      <c r="GL71" s="356"/>
      <c r="GM71" s="356"/>
      <c r="GN71" s="356"/>
      <c r="GO71" s="356"/>
      <c r="GP71" s="356"/>
      <c r="GQ71" s="356"/>
      <c r="GR71" s="356"/>
      <c r="GS71" s="356"/>
      <c r="GT71" s="356"/>
      <c r="GU71" s="356"/>
      <c r="GV71" s="356"/>
      <c r="GW71" s="356"/>
      <c r="GX71" s="356"/>
      <c r="GY71" s="356"/>
      <c r="GZ71" s="356"/>
      <c r="HA71" s="356"/>
      <c r="HB71" s="356"/>
      <c r="HC71" s="356"/>
      <c r="HD71" s="356"/>
      <c r="HE71" s="356"/>
      <c r="HF71" s="356"/>
      <c r="HG71" s="356"/>
      <c r="HH71" s="356"/>
      <c r="HI71" s="356"/>
      <c r="HJ71" s="356"/>
      <c r="HK71" s="356"/>
      <c r="HL71" s="356"/>
      <c r="HM71" s="356"/>
      <c r="HN71" s="356"/>
      <c r="HO71" s="356"/>
      <c r="HP71" s="356"/>
      <c r="HQ71" s="356"/>
      <c r="HR71" s="356"/>
      <c r="HS71" s="356"/>
      <c r="HT71" s="356"/>
      <c r="HU71" s="356"/>
      <c r="HV71" s="356"/>
      <c r="HW71" s="356"/>
      <c r="HX71" s="356"/>
      <c r="HY71" s="356"/>
      <c r="HZ71" s="356"/>
      <c r="IA71" s="356"/>
      <c r="IB71" s="356"/>
      <c r="IC71" s="356"/>
      <c r="ID71" s="356"/>
      <c r="IE71" s="356"/>
      <c r="IF71" s="356"/>
      <c r="IG71" s="356"/>
      <c r="IH71" s="356"/>
      <c r="II71" s="356"/>
      <c r="IJ71" s="356"/>
      <c r="IK71" s="356"/>
      <c r="IL71" s="356"/>
      <c r="IM71" s="356"/>
      <c r="IN71" s="356"/>
      <c r="IO71" s="356"/>
      <c r="IP71" s="356"/>
      <c r="IQ71" s="356"/>
      <c r="IR71" s="356"/>
      <c r="IS71" s="356"/>
      <c r="IT71" s="356"/>
      <c r="IU71" s="356"/>
      <c r="IV71" s="356"/>
    </row>
    <row r="72" spans="1:11" ht="16.5" thickBot="1">
      <c r="A72" s="206"/>
      <c r="B72" s="613"/>
      <c r="C72" s="225"/>
      <c r="D72" s="225"/>
      <c r="E72" s="226"/>
      <c r="F72" s="225"/>
      <c r="G72" s="227"/>
      <c r="H72" s="478"/>
      <c r="I72" s="629"/>
      <c r="J72" s="207"/>
      <c r="K72" s="208"/>
    </row>
    <row r="73" spans="1:11" s="268" customFormat="1" ht="15.75">
      <c r="A73" s="260"/>
      <c r="B73" s="630">
        <v>5</v>
      </c>
      <c r="C73" s="264"/>
      <c r="D73" s="269" t="s">
        <v>163</v>
      </c>
      <c r="E73" s="263"/>
      <c r="F73" s="264"/>
      <c r="G73" s="264"/>
      <c r="H73" s="484">
        <f>ROUND(SUM(H74:H118),2)</f>
        <v>85330.54</v>
      </c>
      <c r="I73" s="616">
        <f t="shared" si="1"/>
        <v>107397.01764399999</v>
      </c>
      <c r="J73" s="266"/>
      <c r="K73" s="267"/>
    </row>
    <row r="74" spans="1:11" s="368" customFormat="1" ht="15.75">
      <c r="A74" s="365"/>
      <c r="B74" s="631" t="s">
        <v>109</v>
      </c>
      <c r="C74" s="438" t="s">
        <v>164</v>
      </c>
      <c r="D74" s="434" t="s">
        <v>165</v>
      </c>
      <c r="E74" s="435" t="s">
        <v>133</v>
      </c>
      <c r="F74" s="433">
        <v>400</v>
      </c>
      <c r="G74" s="436">
        <v>3.27</v>
      </c>
      <c r="H74" s="485">
        <f>'ADITIVO - PLANILHA ORÇAMETARIA '!G74*'ADITIVO - PLANILHA ORÇAMETARIA '!F74</f>
        <v>1308</v>
      </c>
      <c r="I74" s="632">
        <f t="shared" si="1"/>
        <v>1646.2487999999998</v>
      </c>
      <c r="J74" s="366">
        <v>2.53</v>
      </c>
      <c r="K74" s="367"/>
    </row>
    <row r="75" spans="1:11" s="368" customFormat="1" ht="15.75">
      <c r="A75" s="365"/>
      <c r="B75" s="631" t="s">
        <v>221</v>
      </c>
      <c r="C75" s="433" t="s">
        <v>164</v>
      </c>
      <c r="D75" s="437" t="s">
        <v>166</v>
      </c>
      <c r="E75" s="435" t="s">
        <v>133</v>
      </c>
      <c r="F75" s="433">
        <v>400</v>
      </c>
      <c r="G75" s="436">
        <v>3.27</v>
      </c>
      <c r="H75" s="485">
        <f>'ADITIVO - PLANILHA ORÇAMETARIA '!G75*'ADITIVO - PLANILHA ORÇAMETARIA '!F75</f>
        <v>1308</v>
      </c>
      <c r="I75" s="632">
        <f t="shared" si="1"/>
        <v>1646.2487999999998</v>
      </c>
      <c r="J75" s="366">
        <v>2.53</v>
      </c>
      <c r="K75" s="367"/>
    </row>
    <row r="76" spans="1:11" s="368" customFormat="1" ht="15.75">
      <c r="A76" s="365"/>
      <c r="B76" s="631" t="s">
        <v>224</v>
      </c>
      <c r="C76" s="433" t="s">
        <v>164</v>
      </c>
      <c r="D76" s="437" t="s">
        <v>167</v>
      </c>
      <c r="E76" s="435" t="s">
        <v>133</v>
      </c>
      <c r="F76" s="433">
        <v>400</v>
      </c>
      <c r="G76" s="436">
        <v>3.27</v>
      </c>
      <c r="H76" s="485">
        <f>'ADITIVO - PLANILHA ORÇAMETARIA '!G76*'ADITIVO - PLANILHA ORÇAMETARIA '!F76</f>
        <v>1308</v>
      </c>
      <c r="I76" s="632">
        <f t="shared" si="1"/>
        <v>1646.2487999999998</v>
      </c>
      <c r="J76" s="366">
        <v>2.53</v>
      </c>
      <c r="K76" s="367"/>
    </row>
    <row r="77" spans="1:11" s="368" customFormat="1" ht="15.75">
      <c r="A77" s="365"/>
      <c r="B77" s="631" t="s">
        <v>227</v>
      </c>
      <c r="C77" s="438" t="s">
        <v>1773</v>
      </c>
      <c r="D77" s="434" t="s">
        <v>1770</v>
      </c>
      <c r="E77" s="439" t="s">
        <v>133</v>
      </c>
      <c r="F77" s="433">
        <v>100</v>
      </c>
      <c r="G77" s="436">
        <v>9.66</v>
      </c>
      <c r="H77" s="485">
        <f>'ADITIVO - PLANILHA ORÇAMETARIA '!G77*'ADITIVO - PLANILHA ORÇAMETARIA '!F77</f>
        <v>966</v>
      </c>
      <c r="I77" s="632">
        <f t="shared" si="1"/>
        <v>1215.8075999999999</v>
      </c>
      <c r="J77" s="366">
        <v>7.44</v>
      </c>
      <c r="K77" s="367"/>
    </row>
    <row r="78" spans="1:11" s="368" customFormat="1" ht="15.75">
      <c r="A78" s="365"/>
      <c r="B78" s="631" t="s">
        <v>230</v>
      </c>
      <c r="C78" s="438" t="s">
        <v>1773</v>
      </c>
      <c r="D78" s="434" t="s">
        <v>1771</v>
      </c>
      <c r="E78" s="439" t="s">
        <v>133</v>
      </c>
      <c r="F78" s="433">
        <v>300</v>
      </c>
      <c r="G78" s="436">
        <v>9.66</v>
      </c>
      <c r="H78" s="485">
        <f>'ADITIVO - PLANILHA ORÇAMETARIA '!G78*'ADITIVO - PLANILHA ORÇAMETARIA '!F78</f>
        <v>2898</v>
      </c>
      <c r="I78" s="632">
        <f t="shared" si="1"/>
        <v>3647.4228</v>
      </c>
      <c r="J78" s="366">
        <v>7.44</v>
      </c>
      <c r="K78" s="367"/>
    </row>
    <row r="79" spans="1:11" s="368" customFormat="1" ht="15.75">
      <c r="A79" s="365"/>
      <c r="B79" s="631" t="s">
        <v>233</v>
      </c>
      <c r="C79" s="438" t="s">
        <v>1773</v>
      </c>
      <c r="D79" s="434" t="s">
        <v>1772</v>
      </c>
      <c r="E79" s="439" t="s">
        <v>133</v>
      </c>
      <c r="F79" s="433">
        <v>100</v>
      </c>
      <c r="G79" s="436">
        <v>9.66</v>
      </c>
      <c r="H79" s="485">
        <f>'ADITIVO - PLANILHA ORÇAMETARIA '!G79*'ADITIVO - PLANILHA ORÇAMETARIA '!F79</f>
        <v>966</v>
      </c>
      <c r="I79" s="632">
        <f t="shared" si="1"/>
        <v>1215.8075999999999</v>
      </c>
      <c r="J79" s="366">
        <v>7.44</v>
      </c>
      <c r="K79" s="367"/>
    </row>
    <row r="80" spans="1:11" s="368" customFormat="1" ht="15.75">
      <c r="A80" s="365"/>
      <c r="B80" s="631" t="s">
        <v>236</v>
      </c>
      <c r="C80" s="438" t="s">
        <v>168</v>
      </c>
      <c r="D80" s="434" t="s">
        <v>169</v>
      </c>
      <c r="E80" s="435" t="s">
        <v>133</v>
      </c>
      <c r="F80" s="433">
        <v>200</v>
      </c>
      <c r="G80" s="436">
        <v>16.25</v>
      </c>
      <c r="H80" s="485">
        <f>'ADITIVO - PLANILHA ORÇAMETARIA '!G80*'ADITIVO - PLANILHA ORÇAMETARIA '!F80</f>
        <v>3250</v>
      </c>
      <c r="I80" s="632">
        <f t="shared" si="1"/>
        <v>4090.45</v>
      </c>
      <c r="J80" s="366">
        <v>12.05</v>
      </c>
      <c r="K80" s="367"/>
    </row>
    <row r="81" spans="1:11" s="368" customFormat="1" ht="15.75">
      <c r="A81" s="365"/>
      <c r="B81" s="631" t="s">
        <v>239</v>
      </c>
      <c r="C81" s="433" t="s">
        <v>168</v>
      </c>
      <c r="D81" s="437" t="s">
        <v>170</v>
      </c>
      <c r="E81" s="435" t="s">
        <v>133</v>
      </c>
      <c r="F81" s="433">
        <v>200</v>
      </c>
      <c r="G81" s="436">
        <v>16.25</v>
      </c>
      <c r="H81" s="485">
        <f>'ADITIVO - PLANILHA ORÇAMETARIA '!G81*'ADITIVO - PLANILHA ORÇAMETARIA '!F81</f>
        <v>3250</v>
      </c>
      <c r="I81" s="632">
        <f t="shared" si="1"/>
        <v>4090.45</v>
      </c>
      <c r="J81" s="366">
        <v>12.05</v>
      </c>
      <c r="K81" s="367"/>
    </row>
    <row r="82" spans="1:11" s="368" customFormat="1" ht="15.75">
      <c r="A82" s="365"/>
      <c r="B82" s="631" t="s">
        <v>242</v>
      </c>
      <c r="C82" s="433" t="s">
        <v>168</v>
      </c>
      <c r="D82" s="434" t="s">
        <v>171</v>
      </c>
      <c r="E82" s="435" t="s">
        <v>133</v>
      </c>
      <c r="F82" s="433">
        <v>60</v>
      </c>
      <c r="G82" s="436">
        <v>16.25</v>
      </c>
      <c r="H82" s="485">
        <f>'ADITIVO - PLANILHA ORÇAMETARIA '!G82*'ADITIVO - PLANILHA ORÇAMETARIA '!F82</f>
        <v>975</v>
      </c>
      <c r="I82" s="632">
        <f t="shared" si="1"/>
        <v>1227.135</v>
      </c>
      <c r="J82" s="366">
        <v>12.05</v>
      </c>
      <c r="K82" s="367"/>
    </row>
    <row r="83" spans="1:11" s="368" customFormat="1" ht="15.75">
      <c r="A83" s="365"/>
      <c r="B83" s="631" t="s">
        <v>245</v>
      </c>
      <c r="C83" s="433" t="s">
        <v>172</v>
      </c>
      <c r="D83" s="434" t="s">
        <v>173</v>
      </c>
      <c r="E83" s="435" t="s">
        <v>18</v>
      </c>
      <c r="F83" s="433">
        <v>9</v>
      </c>
      <c r="G83" s="436">
        <f>COMPOSIÇÕES!F126</f>
        <v>58.285000000000004</v>
      </c>
      <c r="H83" s="485">
        <f>'ADITIVO - PLANILHA ORÇAMETARIA '!G83*'ADITIVO - PLANILHA ORÇAMETARIA '!F83</f>
        <v>524.565</v>
      </c>
      <c r="I83" s="632">
        <f t="shared" si="1"/>
        <v>660.2175090000001</v>
      </c>
      <c r="J83" s="366">
        <v>56.160000000000004</v>
      </c>
      <c r="K83" s="367"/>
    </row>
    <row r="84" spans="1:11" s="368" customFormat="1" ht="15.75">
      <c r="A84" s="365"/>
      <c r="B84" s="631" t="s">
        <v>248</v>
      </c>
      <c r="C84" s="433" t="s">
        <v>174</v>
      </c>
      <c r="D84" s="437" t="s">
        <v>175</v>
      </c>
      <c r="E84" s="435" t="s">
        <v>18</v>
      </c>
      <c r="F84" s="433">
        <v>10</v>
      </c>
      <c r="G84" s="436">
        <f>COMPOSIÇÕES!F118</f>
        <v>5.237</v>
      </c>
      <c r="H84" s="485">
        <f>'ADITIVO - PLANILHA ORÇAMETARIA '!G84*'ADITIVO - PLANILHA ORÇAMETARIA '!F84</f>
        <v>52.370000000000005</v>
      </c>
      <c r="I84" s="632">
        <f t="shared" si="1"/>
        <v>65.912882</v>
      </c>
      <c r="J84" s="366">
        <v>5.324000000000001</v>
      </c>
      <c r="K84" s="367"/>
    </row>
    <row r="85" spans="1:11" s="368" customFormat="1" ht="15.75">
      <c r="A85" s="365"/>
      <c r="B85" s="631" t="s">
        <v>251</v>
      </c>
      <c r="C85" s="409" t="s">
        <v>1746</v>
      </c>
      <c r="D85" s="440" t="s">
        <v>1781</v>
      </c>
      <c r="E85" s="441" t="s">
        <v>18</v>
      </c>
      <c r="F85" s="408">
        <v>30</v>
      </c>
      <c r="G85" s="412">
        <v>6.84</v>
      </c>
      <c r="H85" s="486">
        <f>'ADITIVO - PLANILHA ORÇAMETARIA '!G85*'ADITIVO - PLANILHA ORÇAMETARIA '!F85</f>
        <v>205.2</v>
      </c>
      <c r="I85" s="632">
        <f t="shared" si="1"/>
        <v>258.26471999999995</v>
      </c>
      <c r="J85" s="366">
        <v>6.71</v>
      </c>
      <c r="K85" s="367"/>
    </row>
    <row r="86" spans="1:11" s="368" customFormat="1" ht="15.75">
      <c r="A86" s="365"/>
      <c r="B86" s="631" t="s">
        <v>254</v>
      </c>
      <c r="C86" s="433" t="s">
        <v>176</v>
      </c>
      <c r="D86" s="434" t="s">
        <v>177</v>
      </c>
      <c r="E86" s="435" t="s">
        <v>18</v>
      </c>
      <c r="F86" s="433">
        <v>16</v>
      </c>
      <c r="G86" s="436">
        <v>4.51</v>
      </c>
      <c r="H86" s="485">
        <f>'ADITIVO - PLANILHA ORÇAMETARIA '!G86*'ADITIVO - PLANILHA ORÇAMETARIA '!F86</f>
        <v>72.16</v>
      </c>
      <c r="I86" s="632">
        <f t="shared" si="1"/>
        <v>90.82057599999999</v>
      </c>
      <c r="J86" s="366">
        <v>4.07</v>
      </c>
      <c r="K86" s="367"/>
    </row>
    <row r="87" spans="1:11" s="402" customFormat="1" ht="15.75">
      <c r="A87" s="399"/>
      <c r="B87" s="631" t="s">
        <v>257</v>
      </c>
      <c r="C87" s="409" t="s">
        <v>1769</v>
      </c>
      <c r="D87" s="440" t="s">
        <v>178</v>
      </c>
      <c r="E87" s="441" t="s">
        <v>18</v>
      </c>
      <c r="F87" s="408">
        <v>60</v>
      </c>
      <c r="G87" s="412">
        <f>COMPOSIÇÕES!F392</f>
        <v>4.338544992567731</v>
      </c>
      <c r="H87" s="486">
        <f>'ADITIVO - PLANILHA ORÇAMETARIA '!G87*'ADITIVO - PLANILHA ORÇAMETARIA '!F87</f>
        <v>260.31269955406384</v>
      </c>
      <c r="I87" s="632">
        <f t="shared" si="1"/>
        <v>327.62956365874476</v>
      </c>
      <c r="J87" s="400">
        <v>4.242166666666667</v>
      </c>
      <c r="K87" s="401"/>
    </row>
    <row r="88" spans="1:11" s="368" customFormat="1" ht="15.75">
      <c r="A88" s="365"/>
      <c r="B88" s="631" t="s">
        <v>260</v>
      </c>
      <c r="C88" s="443" t="s">
        <v>772</v>
      </c>
      <c r="D88" s="440" t="s">
        <v>1668</v>
      </c>
      <c r="E88" s="441" t="s">
        <v>18</v>
      </c>
      <c r="F88" s="408">
        <v>58</v>
      </c>
      <c r="G88" s="442">
        <f>COMPOSIÇÕES!F376</f>
        <v>2.6554503354538443</v>
      </c>
      <c r="H88" s="486">
        <f>'ADITIVO - PLANILHA ORÇAMETARIA '!G88*'ADITIVO - PLANILHA ORÇAMETARIA '!F88</f>
        <v>154.01611945632297</v>
      </c>
      <c r="I88" s="632">
        <f t="shared" si="1"/>
        <v>193.8446879477281</v>
      </c>
      <c r="J88" s="366">
        <v>2.593666666666667</v>
      </c>
      <c r="K88" s="367"/>
    </row>
    <row r="89" spans="1:11" s="368" customFormat="1" ht="25.5">
      <c r="A89" s="365"/>
      <c r="B89" s="631" t="s">
        <v>263</v>
      </c>
      <c r="C89" s="409" t="s">
        <v>1761</v>
      </c>
      <c r="D89" s="440" t="s">
        <v>1778</v>
      </c>
      <c r="E89" s="441" t="s">
        <v>18</v>
      </c>
      <c r="F89" s="408">
        <v>5</v>
      </c>
      <c r="G89" s="412">
        <v>10.5</v>
      </c>
      <c r="H89" s="486">
        <f>'ADITIVO - PLANILHA ORÇAMETARIA '!G89*'ADITIVO - PLANILHA ORÇAMETARIA '!F89</f>
        <v>52.5</v>
      </c>
      <c r="I89" s="632">
        <f t="shared" si="1"/>
        <v>66.0765</v>
      </c>
      <c r="J89" s="366">
        <v>9.44</v>
      </c>
      <c r="K89" s="367"/>
    </row>
    <row r="90" spans="1:11" s="368" customFormat="1" ht="25.5">
      <c r="A90" s="365"/>
      <c r="B90" s="631" t="s">
        <v>266</v>
      </c>
      <c r="C90" s="409" t="s">
        <v>1779</v>
      </c>
      <c r="D90" s="440" t="s">
        <v>1780</v>
      </c>
      <c r="E90" s="466" t="s">
        <v>18</v>
      </c>
      <c r="F90" s="408">
        <v>4</v>
      </c>
      <c r="G90" s="412">
        <v>12.94</v>
      </c>
      <c r="H90" s="486">
        <f>'ADITIVO - PLANILHA ORÇAMETARIA '!G90*'ADITIVO - PLANILHA ORÇAMETARIA '!F90</f>
        <v>51.76</v>
      </c>
      <c r="I90" s="632">
        <f aca="true" t="shared" si="3" ref="I90:I153">H90*1.2586</f>
        <v>65.145136</v>
      </c>
      <c r="J90" s="366">
        <v>11.43</v>
      </c>
      <c r="K90" s="367"/>
    </row>
    <row r="91" spans="1:11" s="368" customFormat="1" ht="15.75">
      <c r="A91" s="365"/>
      <c r="B91" s="631" t="s">
        <v>269</v>
      </c>
      <c r="C91" s="443" t="s">
        <v>1748</v>
      </c>
      <c r="D91" s="440" t="s">
        <v>1747</v>
      </c>
      <c r="E91" s="466" t="s">
        <v>133</v>
      </c>
      <c r="F91" s="408">
        <v>90</v>
      </c>
      <c r="G91" s="412">
        <v>5.57</v>
      </c>
      <c r="H91" s="486">
        <f>'ADITIVO - PLANILHA ORÇAMETARIA '!G91*'ADITIVO - PLANILHA ORÇAMETARIA '!F91</f>
        <v>501.3</v>
      </c>
      <c r="I91" s="632">
        <f t="shared" si="3"/>
        <v>630.93618</v>
      </c>
      <c r="J91" s="366">
        <v>5.47</v>
      </c>
      <c r="K91" s="367"/>
    </row>
    <row r="92" spans="1:11" s="368" customFormat="1" ht="15.75">
      <c r="A92" s="365"/>
      <c r="B92" s="631" t="s">
        <v>272</v>
      </c>
      <c r="C92" s="443" t="s">
        <v>1777</v>
      </c>
      <c r="D92" s="440" t="s">
        <v>1776</v>
      </c>
      <c r="E92" s="466" t="s">
        <v>133</v>
      </c>
      <c r="F92" s="408">
        <v>45</v>
      </c>
      <c r="G92" s="412">
        <v>6.99</v>
      </c>
      <c r="H92" s="486">
        <f>'ADITIVO - PLANILHA ORÇAMETARIA '!G92*'ADITIVO - PLANILHA ORÇAMETARIA '!F92</f>
        <v>314.55</v>
      </c>
      <c r="I92" s="632">
        <f t="shared" si="3"/>
        <v>395.89263</v>
      </c>
      <c r="J92" s="366">
        <v>6.93</v>
      </c>
      <c r="K92" s="367"/>
    </row>
    <row r="93" spans="1:11" s="368" customFormat="1" ht="15.75">
      <c r="A93" s="365"/>
      <c r="B93" s="631" t="s">
        <v>275</v>
      </c>
      <c r="C93" s="438" t="s">
        <v>181</v>
      </c>
      <c r="D93" s="437" t="s">
        <v>182</v>
      </c>
      <c r="E93" s="435" t="s">
        <v>18</v>
      </c>
      <c r="F93" s="433">
        <v>24</v>
      </c>
      <c r="G93" s="436">
        <f>COMPOSIÇÕES!F134</f>
        <v>13.1725</v>
      </c>
      <c r="H93" s="485">
        <f>'ADITIVO - PLANILHA ORÇAMETARIA '!G93*'ADITIVO - PLANILHA ORÇAMETARIA '!F93</f>
        <v>316.14</v>
      </c>
      <c r="I93" s="632">
        <f t="shared" si="3"/>
        <v>397.893804</v>
      </c>
      <c r="J93" s="366">
        <v>12.915000000000001</v>
      </c>
      <c r="K93" s="367"/>
    </row>
    <row r="94" spans="1:11" s="474" customFormat="1" ht="15.75">
      <c r="A94" s="471"/>
      <c r="B94" s="631" t="s">
        <v>278</v>
      </c>
      <c r="C94" s="438" t="s">
        <v>1786</v>
      </c>
      <c r="D94" s="434" t="s">
        <v>1785</v>
      </c>
      <c r="E94" s="439" t="s">
        <v>18</v>
      </c>
      <c r="F94" s="433">
        <v>5</v>
      </c>
      <c r="G94" s="436">
        <f>COMPOSIÇÕES!F408</f>
        <v>15.4025</v>
      </c>
      <c r="H94" s="485">
        <f>'ADITIVO - PLANILHA ORÇAMETARIA '!G94*'ADITIVO - PLANILHA ORÇAMETARIA '!F94</f>
        <v>77.0125</v>
      </c>
      <c r="I94" s="632">
        <f t="shared" si="3"/>
        <v>96.9279325</v>
      </c>
      <c r="J94" s="472">
        <v>14.255</v>
      </c>
      <c r="K94" s="473"/>
    </row>
    <row r="95" spans="1:11" s="474" customFormat="1" ht="15.75">
      <c r="A95" s="471"/>
      <c r="B95" s="631" t="s">
        <v>281</v>
      </c>
      <c r="C95" s="438" t="s">
        <v>1788</v>
      </c>
      <c r="D95" s="434" t="s">
        <v>1787</v>
      </c>
      <c r="E95" s="439" t="s">
        <v>18</v>
      </c>
      <c r="F95" s="433">
        <v>5</v>
      </c>
      <c r="G95" s="436">
        <v>4.51</v>
      </c>
      <c r="H95" s="485">
        <f>'ADITIVO - PLANILHA ORÇAMETARIA '!G95*'ADITIVO - PLANILHA ORÇAMETARIA '!F95</f>
        <v>22.549999999999997</v>
      </c>
      <c r="I95" s="632">
        <f t="shared" si="3"/>
        <v>28.381429999999995</v>
      </c>
      <c r="J95" s="472">
        <v>4.07</v>
      </c>
      <c r="K95" s="473"/>
    </row>
    <row r="96" spans="1:11" s="474" customFormat="1" ht="15.75">
      <c r="A96" s="471"/>
      <c r="B96" s="631" t="s">
        <v>284</v>
      </c>
      <c r="C96" s="438" t="s">
        <v>1793</v>
      </c>
      <c r="D96" s="434" t="s">
        <v>1790</v>
      </c>
      <c r="E96" s="439" t="s">
        <v>18</v>
      </c>
      <c r="F96" s="433">
        <v>19</v>
      </c>
      <c r="G96" s="436">
        <f>COMPOSIÇÕES!F415</f>
        <v>4.894</v>
      </c>
      <c r="H96" s="485">
        <f>'ADITIVO - PLANILHA ORÇAMETARIA '!G96*'ADITIVO - PLANILHA ORÇAMETARIA '!F96</f>
        <v>92.986</v>
      </c>
      <c r="I96" s="632">
        <f t="shared" si="3"/>
        <v>117.0321796</v>
      </c>
      <c r="J96" s="472">
        <v>3.3840000000000003</v>
      </c>
      <c r="K96" s="473"/>
    </row>
    <row r="97" spans="1:11" s="474" customFormat="1" ht="15.75">
      <c r="A97" s="471"/>
      <c r="B97" s="631" t="s">
        <v>287</v>
      </c>
      <c r="C97" s="438" t="s">
        <v>755</v>
      </c>
      <c r="D97" s="434" t="s">
        <v>1812</v>
      </c>
      <c r="E97" s="439" t="s">
        <v>18</v>
      </c>
      <c r="F97" s="433">
        <v>5</v>
      </c>
      <c r="G97" s="436">
        <f>COMPOSIÇÕES!F437</f>
        <v>4.860324827278349</v>
      </c>
      <c r="H97" s="485">
        <f>'ADITIVO - PLANILHA ORÇAMETARIA '!G97*'ADITIVO - PLANILHA ORÇAMETARIA '!F97</f>
        <v>24.301624136391744</v>
      </c>
      <c r="I97" s="632">
        <f t="shared" si="3"/>
        <v>30.586024138062648</v>
      </c>
      <c r="J97" s="472">
        <v>4.769</v>
      </c>
      <c r="K97" s="473"/>
    </row>
    <row r="98" spans="1:11" s="474" customFormat="1" ht="15.75">
      <c r="A98" s="471"/>
      <c r="B98" s="631" t="s">
        <v>290</v>
      </c>
      <c r="C98" s="438" t="s">
        <v>1796</v>
      </c>
      <c r="D98" s="434" t="s">
        <v>1794</v>
      </c>
      <c r="E98" s="439" t="s">
        <v>18</v>
      </c>
      <c r="F98" s="433">
        <v>7</v>
      </c>
      <c r="G98" s="436">
        <v>5.8</v>
      </c>
      <c r="H98" s="485">
        <f>'ADITIVO - PLANILHA ORÇAMETARIA '!G98*'ADITIVO - PLANILHA ORÇAMETARIA '!F98</f>
        <v>40.6</v>
      </c>
      <c r="I98" s="632">
        <f t="shared" si="3"/>
        <v>51.09916</v>
      </c>
      <c r="J98" s="472">
        <v>5.69</v>
      </c>
      <c r="K98" s="473"/>
    </row>
    <row r="99" spans="1:11" s="474" customFormat="1" ht="15.75">
      <c r="A99" s="471"/>
      <c r="B99" s="631" t="s">
        <v>291</v>
      </c>
      <c r="C99" s="438" t="s">
        <v>1795</v>
      </c>
      <c r="D99" s="434" t="s">
        <v>1814</v>
      </c>
      <c r="E99" s="439" t="s">
        <v>18</v>
      </c>
      <c r="F99" s="433">
        <v>1</v>
      </c>
      <c r="G99" s="436">
        <v>5.8</v>
      </c>
      <c r="H99" s="485">
        <f>'ADITIVO - PLANILHA ORÇAMETARIA '!G99*'ADITIVO - PLANILHA ORÇAMETARIA '!F99</f>
        <v>5.8</v>
      </c>
      <c r="I99" s="632">
        <f t="shared" si="3"/>
        <v>7.299879999999999</v>
      </c>
      <c r="J99" s="472">
        <v>5.88</v>
      </c>
      <c r="K99" s="473"/>
    </row>
    <row r="100" spans="1:11" s="474" customFormat="1" ht="15.75">
      <c r="A100" s="471"/>
      <c r="B100" s="631" t="s">
        <v>294</v>
      </c>
      <c r="C100" s="438" t="s">
        <v>1802</v>
      </c>
      <c r="D100" s="434" t="s">
        <v>1801</v>
      </c>
      <c r="E100" s="439" t="s">
        <v>18</v>
      </c>
      <c r="F100" s="433">
        <v>7</v>
      </c>
      <c r="G100" s="436">
        <v>0.77</v>
      </c>
      <c r="H100" s="485">
        <f>'ADITIVO - PLANILHA ORÇAMETARIA '!G100*'ADITIVO - PLANILHA ORÇAMETARIA '!F100</f>
        <v>5.390000000000001</v>
      </c>
      <c r="I100" s="632">
        <f t="shared" si="3"/>
        <v>6.783854000000001</v>
      </c>
      <c r="J100" s="472">
        <v>0.77</v>
      </c>
      <c r="K100" s="473"/>
    </row>
    <row r="101" spans="1:11" s="474" customFormat="1" ht="15.75">
      <c r="A101" s="471"/>
      <c r="B101" s="631" t="s">
        <v>295</v>
      </c>
      <c r="C101" s="438" t="s">
        <v>1800</v>
      </c>
      <c r="D101" s="434" t="s">
        <v>1799</v>
      </c>
      <c r="E101" s="439" t="s">
        <v>18</v>
      </c>
      <c r="F101" s="433">
        <v>1</v>
      </c>
      <c r="G101" s="436">
        <v>1.92</v>
      </c>
      <c r="H101" s="485">
        <f>'ADITIVO - PLANILHA ORÇAMETARIA '!G101*'ADITIVO - PLANILHA ORÇAMETARIA '!F101</f>
        <v>1.92</v>
      </c>
      <c r="I101" s="632">
        <f t="shared" si="3"/>
        <v>2.416512</v>
      </c>
      <c r="J101" s="472">
        <v>1.92</v>
      </c>
      <c r="K101" s="473"/>
    </row>
    <row r="102" spans="1:11" s="474" customFormat="1" ht="15.75">
      <c r="A102" s="471"/>
      <c r="B102" s="631" t="s">
        <v>297</v>
      </c>
      <c r="C102" s="438" t="s">
        <v>672</v>
      </c>
      <c r="D102" s="434" t="s">
        <v>1809</v>
      </c>
      <c r="E102" s="439" t="s">
        <v>18</v>
      </c>
      <c r="F102" s="433">
        <v>1</v>
      </c>
      <c r="G102" s="436">
        <f>COMPOSIÇÕES!F430</f>
        <v>5.584301245614656</v>
      </c>
      <c r="H102" s="485">
        <f>'ADITIVO - PLANILHA ORÇAMETARIA '!G102*'ADITIVO - PLANILHA ORÇAMETARIA '!F102</f>
        <v>5.584301245614656</v>
      </c>
      <c r="I102" s="632">
        <f t="shared" si="3"/>
        <v>7.028401547730605</v>
      </c>
      <c r="J102" s="472">
        <v>5.492</v>
      </c>
      <c r="K102" s="473"/>
    </row>
    <row r="103" spans="1:11" s="474" customFormat="1" ht="15.75">
      <c r="A103" s="471"/>
      <c r="B103" s="631" t="s">
        <v>300</v>
      </c>
      <c r="C103" s="438" t="s">
        <v>1815</v>
      </c>
      <c r="D103" s="434" t="s">
        <v>1806</v>
      </c>
      <c r="E103" s="439" t="s">
        <v>18</v>
      </c>
      <c r="F103" s="433">
        <v>40</v>
      </c>
      <c r="G103" s="436">
        <f>COMPOSIÇÕES!F422</f>
        <v>3.041371990605734</v>
      </c>
      <c r="H103" s="485">
        <f>'ADITIVO - PLANILHA ORÇAMETARIA '!G103*'ADITIVO - PLANILHA ORÇAMETARIA '!F103</f>
        <v>121.65487962422937</v>
      </c>
      <c r="I103" s="632">
        <f t="shared" si="3"/>
        <v>153.11483149505509</v>
      </c>
      <c r="J103" s="472">
        <v>2.9690000000000003</v>
      </c>
      <c r="K103" s="473"/>
    </row>
    <row r="104" spans="1:11" s="474" customFormat="1" ht="15.75">
      <c r="A104" s="471"/>
      <c r="B104" s="631" t="s">
        <v>303</v>
      </c>
      <c r="C104" s="438" t="s">
        <v>1798</v>
      </c>
      <c r="D104" s="434" t="s">
        <v>1797</v>
      </c>
      <c r="E104" s="439" t="s">
        <v>18</v>
      </c>
      <c r="F104" s="433">
        <v>27</v>
      </c>
      <c r="G104" s="436">
        <v>7.21</v>
      </c>
      <c r="H104" s="485">
        <f>'ADITIVO - PLANILHA ORÇAMETARIA '!G104*'ADITIVO - PLANILHA ORÇAMETARIA '!F104</f>
        <v>194.67</v>
      </c>
      <c r="I104" s="632">
        <f t="shared" si="3"/>
        <v>245.01166199999997</v>
      </c>
      <c r="J104" s="472">
        <v>7.22</v>
      </c>
      <c r="K104" s="473"/>
    </row>
    <row r="105" spans="1:11" s="474" customFormat="1" ht="15.75">
      <c r="A105" s="471"/>
      <c r="B105" s="631" t="s">
        <v>306</v>
      </c>
      <c r="C105" s="438" t="s">
        <v>1836</v>
      </c>
      <c r="D105" s="434" t="s">
        <v>1835</v>
      </c>
      <c r="E105" s="439" t="s">
        <v>18</v>
      </c>
      <c r="F105" s="433">
        <v>3</v>
      </c>
      <c r="G105" s="436">
        <v>178.14</v>
      </c>
      <c r="H105" s="485">
        <f>'ADITIVO - PLANILHA ORÇAMETARIA '!G105*'ADITIVO - PLANILHA ORÇAMETARIA '!F105</f>
        <v>534.42</v>
      </c>
      <c r="I105" s="632">
        <f t="shared" si="3"/>
        <v>672.621012</v>
      </c>
      <c r="J105" s="472"/>
      <c r="K105" s="473"/>
    </row>
    <row r="106" spans="1:11" s="474" customFormat="1" ht="15.75">
      <c r="A106" s="471"/>
      <c r="B106" s="631" t="s">
        <v>309</v>
      </c>
      <c r="C106" s="438" t="s">
        <v>1361</v>
      </c>
      <c r="D106" s="434" t="s">
        <v>1803</v>
      </c>
      <c r="E106" s="439" t="s">
        <v>133</v>
      </c>
      <c r="F106" s="433">
        <v>25</v>
      </c>
      <c r="G106" s="436">
        <v>11.28</v>
      </c>
      <c r="H106" s="485">
        <f>'ADITIVO - PLANILHA ORÇAMETARIA '!G106*'ADITIVO - PLANILHA ORÇAMETARIA '!F106</f>
        <v>282</v>
      </c>
      <c r="I106" s="632">
        <f t="shared" si="3"/>
        <v>354.92519999999996</v>
      </c>
      <c r="J106" s="472">
        <v>14.08</v>
      </c>
      <c r="K106" s="473"/>
    </row>
    <row r="107" spans="1:11" s="368" customFormat="1" ht="15.75">
      <c r="A107" s="365"/>
      <c r="B107" s="631" t="s">
        <v>312</v>
      </c>
      <c r="C107" s="438" t="s">
        <v>184</v>
      </c>
      <c r="D107" s="434" t="s">
        <v>185</v>
      </c>
      <c r="E107" s="435" t="s">
        <v>18</v>
      </c>
      <c r="F107" s="433">
        <v>15</v>
      </c>
      <c r="G107" s="436">
        <v>11.43</v>
      </c>
      <c r="H107" s="485">
        <f>'ADITIVO - PLANILHA ORÇAMETARIA '!G107*'ADITIVO - PLANILHA ORÇAMETARIA '!F107</f>
        <v>171.45</v>
      </c>
      <c r="I107" s="632">
        <f t="shared" si="3"/>
        <v>215.78696999999997</v>
      </c>
      <c r="J107" s="366">
        <v>11.21</v>
      </c>
      <c r="K107" s="367"/>
    </row>
    <row r="108" spans="1:11" s="368" customFormat="1" ht="13.5" customHeight="1">
      <c r="A108" s="365"/>
      <c r="B108" s="631" t="s">
        <v>316</v>
      </c>
      <c r="C108" s="433" t="s">
        <v>188</v>
      </c>
      <c r="D108" s="434" t="s">
        <v>189</v>
      </c>
      <c r="E108" s="435" t="s">
        <v>18</v>
      </c>
      <c r="F108" s="433">
        <v>60</v>
      </c>
      <c r="G108" s="436">
        <v>2.99</v>
      </c>
      <c r="H108" s="485">
        <f>'ADITIVO - PLANILHA ORÇAMETARIA '!G108*'ADITIVO - PLANILHA ORÇAMETARIA '!F108</f>
        <v>179.4</v>
      </c>
      <c r="I108" s="632">
        <f t="shared" si="3"/>
        <v>225.79283999999998</v>
      </c>
      <c r="J108" s="366">
        <v>2.83</v>
      </c>
      <c r="K108" s="367"/>
    </row>
    <row r="109" spans="1:11" s="368" customFormat="1" ht="13.5" customHeight="1">
      <c r="A109" s="365"/>
      <c r="B109" s="631" t="s">
        <v>319</v>
      </c>
      <c r="C109" s="433" t="s">
        <v>191</v>
      </c>
      <c r="D109" s="434" t="s">
        <v>192</v>
      </c>
      <c r="E109" s="435" t="s">
        <v>18</v>
      </c>
      <c r="F109" s="433">
        <v>100</v>
      </c>
      <c r="G109" s="436">
        <v>2.84</v>
      </c>
      <c r="H109" s="485">
        <f>'ADITIVO - PLANILHA ORÇAMETARIA '!G109*'ADITIVO - PLANILHA ORÇAMETARIA '!F109</f>
        <v>284</v>
      </c>
      <c r="I109" s="632">
        <f t="shared" si="3"/>
        <v>357.44239999999996</v>
      </c>
      <c r="J109" s="366">
        <v>2.8</v>
      </c>
      <c r="K109" s="367"/>
    </row>
    <row r="110" spans="1:11" s="368" customFormat="1" ht="13.5" customHeight="1">
      <c r="A110" s="365"/>
      <c r="B110" s="631" t="s">
        <v>1816</v>
      </c>
      <c r="C110" s="433" t="s">
        <v>194</v>
      </c>
      <c r="D110" s="434" t="s">
        <v>195</v>
      </c>
      <c r="E110" s="435" t="s">
        <v>18</v>
      </c>
      <c r="F110" s="433">
        <v>100</v>
      </c>
      <c r="G110" s="436">
        <v>1.41</v>
      </c>
      <c r="H110" s="485">
        <f>'ADITIVO - PLANILHA ORÇAMETARIA '!G110*'ADITIVO - PLANILHA ORÇAMETARIA '!F110</f>
        <v>141</v>
      </c>
      <c r="I110" s="632">
        <f t="shared" si="3"/>
        <v>177.46259999999998</v>
      </c>
      <c r="J110" s="366">
        <v>1.38</v>
      </c>
      <c r="K110" s="367"/>
    </row>
    <row r="111" spans="1:11" s="368" customFormat="1" ht="15.75">
      <c r="A111" s="365"/>
      <c r="B111" s="631" t="s">
        <v>324</v>
      </c>
      <c r="C111" s="433" t="s">
        <v>197</v>
      </c>
      <c r="D111" s="434" t="s">
        <v>198</v>
      </c>
      <c r="E111" s="435" t="s">
        <v>18</v>
      </c>
      <c r="F111" s="433">
        <v>100</v>
      </c>
      <c r="G111" s="436">
        <v>0.35</v>
      </c>
      <c r="H111" s="485">
        <f>'ADITIVO - PLANILHA ORÇAMETARIA '!G111*'ADITIVO - PLANILHA ORÇAMETARIA '!F111</f>
        <v>35</v>
      </c>
      <c r="I111" s="632">
        <f t="shared" si="3"/>
        <v>44.050999999999995</v>
      </c>
      <c r="J111" s="366">
        <v>0.35</v>
      </c>
      <c r="K111" s="367"/>
    </row>
    <row r="112" spans="1:11" s="368" customFormat="1" ht="25.5">
      <c r="A112" s="365"/>
      <c r="B112" s="631" t="s">
        <v>1237</v>
      </c>
      <c r="C112" s="433" t="s">
        <v>200</v>
      </c>
      <c r="D112" s="434" t="s">
        <v>201</v>
      </c>
      <c r="E112" s="435" t="s">
        <v>18</v>
      </c>
      <c r="F112" s="433">
        <v>4</v>
      </c>
      <c r="G112" s="436">
        <v>1426.46</v>
      </c>
      <c r="H112" s="485">
        <f>'ADITIVO - PLANILHA ORÇAMETARIA '!G112*'ADITIVO - PLANILHA ORÇAMETARIA '!F112</f>
        <v>5705.84</v>
      </c>
      <c r="I112" s="632">
        <f t="shared" si="3"/>
        <v>7181.370224</v>
      </c>
      <c r="J112" s="366">
        <v>1415.22</v>
      </c>
      <c r="K112" s="367"/>
    </row>
    <row r="113" spans="1:11" s="372" customFormat="1" ht="25.5">
      <c r="A113" s="369" t="s">
        <v>109</v>
      </c>
      <c r="B113" s="631" t="s">
        <v>1239</v>
      </c>
      <c r="C113" s="433" t="s">
        <v>203</v>
      </c>
      <c r="D113" s="434" t="s">
        <v>204</v>
      </c>
      <c r="E113" s="435" t="s">
        <v>18</v>
      </c>
      <c r="F113" s="433">
        <v>8</v>
      </c>
      <c r="G113" s="436">
        <v>6321.82</v>
      </c>
      <c r="H113" s="485">
        <f>'ADITIVO - PLANILHA ORÇAMETARIA '!G113*'ADITIVO - PLANILHA ORÇAMETARIA '!F113</f>
        <v>50574.56</v>
      </c>
      <c r="I113" s="632">
        <f t="shared" si="3"/>
        <v>63653.141215999996</v>
      </c>
      <c r="J113" s="370">
        <v>6359.52</v>
      </c>
      <c r="K113" s="371"/>
    </row>
    <row r="114" spans="1:11" s="372" customFormat="1" ht="25.5">
      <c r="A114" s="369"/>
      <c r="B114" s="631" t="s">
        <v>1240</v>
      </c>
      <c r="C114" s="443" t="s">
        <v>752</v>
      </c>
      <c r="D114" s="444" t="s">
        <v>1663</v>
      </c>
      <c r="E114" s="441" t="s">
        <v>18</v>
      </c>
      <c r="F114" s="408">
        <v>15</v>
      </c>
      <c r="G114" s="442">
        <f>COMPOSIÇÕES!F368</f>
        <v>413.261</v>
      </c>
      <c r="H114" s="485">
        <f>'ADITIVO - PLANILHA ORÇAMETARIA '!G114*'ADITIVO - PLANILHA ORÇAMETARIA '!F114</f>
        <v>6198.915</v>
      </c>
      <c r="I114" s="632">
        <f t="shared" si="3"/>
        <v>7801.954419</v>
      </c>
      <c r="J114" s="370">
        <v>406.48199999999997</v>
      </c>
      <c r="K114" s="371"/>
    </row>
    <row r="115" spans="1:11" s="372" customFormat="1" ht="15.75">
      <c r="A115" s="373">
        <f>'ADITIVO - PLANILHA ORÇAMETARIA '!A51</f>
        <v>0</v>
      </c>
      <c r="B115" s="631" t="s">
        <v>1241</v>
      </c>
      <c r="C115" s="445" t="s">
        <v>1638</v>
      </c>
      <c r="D115" s="440" t="s">
        <v>1637</v>
      </c>
      <c r="E115" s="441" t="s">
        <v>18</v>
      </c>
      <c r="F115" s="408">
        <v>2</v>
      </c>
      <c r="G115" s="442">
        <v>862.73</v>
      </c>
      <c r="H115" s="485">
        <f>'ADITIVO - PLANILHA ORÇAMETARIA '!G115*'ADITIVO - PLANILHA ORÇAMETARIA '!F115</f>
        <v>1725.46</v>
      </c>
      <c r="I115" s="632">
        <f t="shared" si="3"/>
        <v>2171.663956</v>
      </c>
      <c r="J115" s="370">
        <v>857.36</v>
      </c>
      <c r="K115" s="371"/>
    </row>
    <row r="116" spans="1:11" s="372" customFormat="1" ht="25.5">
      <c r="A116" s="373"/>
      <c r="B116" s="631" t="s">
        <v>1243</v>
      </c>
      <c r="C116" s="413" t="s">
        <v>209</v>
      </c>
      <c r="D116" s="419" t="s">
        <v>210</v>
      </c>
      <c r="E116" s="415" t="s">
        <v>18</v>
      </c>
      <c r="F116" s="413">
        <v>1</v>
      </c>
      <c r="G116" s="416">
        <v>13.54</v>
      </c>
      <c r="H116" s="480">
        <f>'ADITIVO - PLANILHA ORÇAMETARIA '!G116*'ADITIVO - PLANILHA ORÇAMETARIA '!F116</f>
        <v>13.54</v>
      </c>
      <c r="I116" s="632">
        <f t="shared" si="3"/>
        <v>17.041444</v>
      </c>
      <c r="J116" s="370">
        <v>13.27</v>
      </c>
      <c r="K116" s="371"/>
    </row>
    <row r="117" spans="1:11" s="372" customFormat="1" ht="15.75">
      <c r="A117" s="373"/>
      <c r="B117" s="631" t="s">
        <v>1245</v>
      </c>
      <c r="C117" s="446" t="s">
        <v>212</v>
      </c>
      <c r="D117" s="447" t="s">
        <v>213</v>
      </c>
      <c r="E117" s="415" t="s">
        <v>18</v>
      </c>
      <c r="F117" s="413">
        <v>2</v>
      </c>
      <c r="G117" s="416">
        <v>14.73</v>
      </c>
      <c r="H117" s="480">
        <f>'ADITIVO - PLANILHA ORÇAMETARIA '!G117*'ADITIVO - PLANILHA ORÇAMETARIA '!F117</f>
        <v>29.46</v>
      </c>
      <c r="I117" s="632">
        <f t="shared" si="3"/>
        <v>37.078356</v>
      </c>
      <c r="J117" s="370">
        <v>14.5</v>
      </c>
      <c r="K117" s="371"/>
    </row>
    <row r="118" spans="1:11" s="372" customFormat="1" ht="26.25" thickBot="1">
      <c r="A118" s="373"/>
      <c r="B118" s="631" t="s">
        <v>1247</v>
      </c>
      <c r="C118" s="413" t="s">
        <v>215</v>
      </c>
      <c r="D118" s="422" t="s">
        <v>216</v>
      </c>
      <c r="E118" s="415" t="s">
        <v>18</v>
      </c>
      <c r="F118" s="413">
        <v>2</v>
      </c>
      <c r="G118" s="413">
        <f>COMPOSIÇÕES!F186</f>
        <v>64.574</v>
      </c>
      <c r="H118" s="480">
        <f>'ADITIVO - PLANILHA ORÇAMETARIA '!G118*'ADITIVO - PLANILHA ORÇAMETARIA '!F118</f>
        <v>129.148</v>
      </c>
      <c r="I118" s="633">
        <f t="shared" si="3"/>
        <v>162.54567279999998</v>
      </c>
      <c r="J118" s="370">
        <v>86.368</v>
      </c>
      <c r="K118" s="371"/>
    </row>
    <row r="119" spans="1:11" s="230" customFormat="1" ht="16.5" thickBot="1">
      <c r="A119" s="270"/>
      <c r="B119" s="613"/>
      <c r="C119" s="225"/>
      <c r="D119" s="225"/>
      <c r="E119" s="226"/>
      <c r="F119" s="225"/>
      <c r="G119" s="227"/>
      <c r="H119" s="478"/>
      <c r="I119" s="614"/>
      <c r="J119" s="228"/>
      <c r="K119" s="229"/>
    </row>
    <row r="120" spans="1:11" s="230" customFormat="1" ht="15.75">
      <c r="A120" s="270"/>
      <c r="B120" s="634" t="s">
        <v>325</v>
      </c>
      <c r="C120" s="264"/>
      <c r="D120" s="269" t="s">
        <v>218</v>
      </c>
      <c r="E120" s="263"/>
      <c r="F120" s="264"/>
      <c r="G120" s="264"/>
      <c r="H120" s="476">
        <f>ROUND(SUM(H121:H156),2)</f>
        <v>45019.92</v>
      </c>
      <c r="I120" s="616">
        <f t="shared" si="3"/>
        <v>56662.07131199999</v>
      </c>
      <c r="J120" s="228"/>
      <c r="K120" s="229"/>
    </row>
    <row r="121" spans="1:11" s="372" customFormat="1" ht="15.75">
      <c r="A121" s="373"/>
      <c r="B121" s="635" t="s">
        <v>327</v>
      </c>
      <c r="C121" s="413" t="s">
        <v>219</v>
      </c>
      <c r="D121" s="419" t="s">
        <v>220</v>
      </c>
      <c r="E121" s="415" t="s">
        <v>133</v>
      </c>
      <c r="F121" s="413">
        <v>85</v>
      </c>
      <c r="G121" s="416">
        <v>75.29</v>
      </c>
      <c r="H121" s="480">
        <f>'ADITIVO - PLANILHA ORÇAMETARIA '!G121*'ADITIVO - PLANILHA ORÇAMETARIA '!F121</f>
        <v>6399.650000000001</v>
      </c>
      <c r="I121" s="417">
        <f t="shared" si="3"/>
        <v>8054.5994900000005</v>
      </c>
      <c r="J121" s="370">
        <v>63.6</v>
      </c>
      <c r="K121" s="371"/>
    </row>
    <row r="122" spans="1:11" s="372" customFormat="1" ht="15.75" customHeight="1">
      <c r="A122" s="373"/>
      <c r="B122" s="635" t="s">
        <v>1295</v>
      </c>
      <c r="C122" s="413" t="s">
        <v>222</v>
      </c>
      <c r="D122" s="419" t="s">
        <v>223</v>
      </c>
      <c r="E122" s="415" t="s">
        <v>133</v>
      </c>
      <c r="F122" s="413">
        <v>70</v>
      </c>
      <c r="G122" s="416">
        <v>51.36</v>
      </c>
      <c r="H122" s="480">
        <f>'ADITIVO - PLANILHA ORÇAMETARIA '!G122*'ADITIVO - PLANILHA ORÇAMETARIA '!F122</f>
        <v>3595.2</v>
      </c>
      <c r="I122" s="417">
        <f t="shared" si="3"/>
        <v>4524.91872</v>
      </c>
      <c r="J122" s="370">
        <v>45.32</v>
      </c>
      <c r="K122" s="371"/>
    </row>
    <row r="123" spans="1:11" s="372" customFormat="1" ht="15.75" customHeight="1">
      <c r="A123" s="373"/>
      <c r="B123" s="635" t="s">
        <v>1298</v>
      </c>
      <c r="C123" s="413" t="s">
        <v>225</v>
      </c>
      <c r="D123" s="419" t="s">
        <v>226</v>
      </c>
      <c r="E123" s="415" t="s">
        <v>133</v>
      </c>
      <c r="F123" s="413">
        <v>251.38</v>
      </c>
      <c r="G123" s="416">
        <v>38.64</v>
      </c>
      <c r="H123" s="480">
        <f>'ADITIVO - PLANILHA ORÇAMETARIA '!G123*'ADITIVO - PLANILHA ORÇAMETARIA '!F123</f>
        <v>9713.3232</v>
      </c>
      <c r="I123" s="417">
        <f t="shared" si="3"/>
        <v>12225.18857952</v>
      </c>
      <c r="J123" s="370">
        <v>34.3</v>
      </c>
      <c r="K123" s="371"/>
    </row>
    <row r="124" spans="1:11" s="372" customFormat="1" ht="15.75" customHeight="1">
      <c r="A124" s="369" t="str">
        <f>'ADITIVO - PLANILHA ORÇAMETARIA '!A52</f>
        <v>3.3</v>
      </c>
      <c r="B124" s="635" t="s">
        <v>1301</v>
      </c>
      <c r="C124" s="413" t="s">
        <v>228</v>
      </c>
      <c r="D124" s="419" t="s">
        <v>229</v>
      </c>
      <c r="E124" s="415" t="s">
        <v>133</v>
      </c>
      <c r="F124" s="413">
        <v>12</v>
      </c>
      <c r="G124" s="416">
        <v>9.46</v>
      </c>
      <c r="H124" s="480">
        <f>'ADITIVO - PLANILHA ORÇAMETARIA '!G124*'ADITIVO - PLANILHA ORÇAMETARIA '!F124</f>
        <v>113.52000000000001</v>
      </c>
      <c r="I124" s="417">
        <f t="shared" si="3"/>
        <v>142.876272</v>
      </c>
      <c r="J124" s="370">
        <v>8.58</v>
      </c>
      <c r="K124" s="371"/>
    </row>
    <row r="125" spans="1:11" s="372" customFormat="1" ht="15.75" customHeight="1">
      <c r="A125" s="369" t="e">
        <f>#REF!</f>
        <v>#REF!</v>
      </c>
      <c r="B125" s="635" t="s">
        <v>1304</v>
      </c>
      <c r="C125" s="413" t="s">
        <v>231</v>
      </c>
      <c r="D125" s="419" t="s">
        <v>232</v>
      </c>
      <c r="E125" s="415" t="s">
        <v>18</v>
      </c>
      <c r="F125" s="413">
        <v>13</v>
      </c>
      <c r="G125" s="416">
        <v>106.09</v>
      </c>
      <c r="H125" s="480">
        <f>'ADITIVO - PLANILHA ORÇAMETARIA '!G125*'ADITIVO - PLANILHA ORÇAMETARIA '!F125</f>
        <v>1379.17</v>
      </c>
      <c r="I125" s="417">
        <f t="shared" si="3"/>
        <v>1735.823362</v>
      </c>
      <c r="J125" s="370">
        <v>83.92</v>
      </c>
      <c r="K125" s="371"/>
    </row>
    <row r="126" spans="1:11" s="372" customFormat="1" ht="13.5" customHeight="1">
      <c r="A126" s="374"/>
      <c r="B126" s="635" t="s">
        <v>1306</v>
      </c>
      <c r="C126" s="413" t="s">
        <v>234</v>
      </c>
      <c r="D126" s="419" t="s">
        <v>235</v>
      </c>
      <c r="E126" s="415" t="s">
        <v>18</v>
      </c>
      <c r="F126" s="413">
        <v>4</v>
      </c>
      <c r="G126" s="416">
        <v>47.84</v>
      </c>
      <c r="H126" s="480">
        <f>'ADITIVO - PLANILHA ORÇAMETARIA '!G126*'ADITIVO - PLANILHA ORÇAMETARIA '!F126</f>
        <v>191.36</v>
      </c>
      <c r="I126" s="417">
        <f t="shared" si="3"/>
        <v>240.845696</v>
      </c>
      <c r="J126" s="370">
        <v>38.86</v>
      </c>
      <c r="K126" s="371"/>
    </row>
    <row r="127" spans="1:11" s="372" customFormat="1" ht="13.5" customHeight="1">
      <c r="A127" s="374"/>
      <c r="B127" s="635" t="s">
        <v>1309</v>
      </c>
      <c r="C127" s="413" t="s">
        <v>237</v>
      </c>
      <c r="D127" s="419" t="s">
        <v>238</v>
      </c>
      <c r="E127" s="415" t="s">
        <v>18</v>
      </c>
      <c r="F127" s="413">
        <v>32</v>
      </c>
      <c r="G127" s="416">
        <v>29.78</v>
      </c>
      <c r="H127" s="480">
        <f>'ADITIVO - PLANILHA ORÇAMETARIA '!G127*'ADITIVO - PLANILHA ORÇAMETARIA '!F127</f>
        <v>952.96</v>
      </c>
      <c r="I127" s="417">
        <f t="shared" si="3"/>
        <v>1199.395456</v>
      </c>
      <c r="J127" s="370">
        <v>24.5</v>
      </c>
      <c r="K127" s="371"/>
    </row>
    <row r="128" spans="1:11" s="372" customFormat="1" ht="13.5" customHeight="1">
      <c r="A128" s="374"/>
      <c r="B128" s="635" t="s">
        <v>1312</v>
      </c>
      <c r="C128" s="413" t="s">
        <v>240</v>
      </c>
      <c r="D128" s="419" t="s">
        <v>241</v>
      </c>
      <c r="E128" s="415" t="s">
        <v>18</v>
      </c>
      <c r="F128" s="413">
        <v>4</v>
      </c>
      <c r="G128" s="416">
        <v>5.94</v>
      </c>
      <c r="H128" s="480">
        <f>'ADITIVO - PLANILHA ORÇAMETARIA '!G128*'ADITIVO - PLANILHA ORÇAMETARIA '!F128</f>
        <v>23.76</v>
      </c>
      <c r="I128" s="417">
        <f t="shared" si="3"/>
        <v>29.904336</v>
      </c>
      <c r="J128" s="370">
        <v>5.57</v>
      </c>
      <c r="K128" s="371"/>
    </row>
    <row r="129" spans="1:11" s="372" customFormat="1" ht="15.75" customHeight="1">
      <c r="A129" s="375"/>
      <c r="B129" s="635" t="s">
        <v>1315</v>
      </c>
      <c r="C129" s="413" t="s">
        <v>243</v>
      </c>
      <c r="D129" s="419" t="s">
        <v>244</v>
      </c>
      <c r="E129" s="415" t="s">
        <v>18</v>
      </c>
      <c r="F129" s="413">
        <v>3</v>
      </c>
      <c r="G129" s="416">
        <v>98.45</v>
      </c>
      <c r="H129" s="480">
        <f>'ADITIVO - PLANILHA ORÇAMETARIA '!G129*'ADITIVO - PLANILHA ORÇAMETARIA '!F129</f>
        <v>295.35</v>
      </c>
      <c r="I129" s="417">
        <f t="shared" si="3"/>
        <v>371.72751</v>
      </c>
      <c r="J129" s="370">
        <v>78.1</v>
      </c>
      <c r="K129" s="371"/>
    </row>
    <row r="130" spans="1:11" s="372" customFormat="1" ht="15.75" customHeight="1">
      <c r="A130" s="374"/>
      <c r="B130" s="635" t="s">
        <v>1317</v>
      </c>
      <c r="C130" s="413" t="s">
        <v>246</v>
      </c>
      <c r="D130" s="422" t="s">
        <v>247</v>
      </c>
      <c r="E130" s="415" t="s">
        <v>18</v>
      </c>
      <c r="F130" s="413">
        <v>3</v>
      </c>
      <c r="G130" s="417">
        <v>38.03</v>
      </c>
      <c r="H130" s="480">
        <f>'ADITIVO - PLANILHA ORÇAMETARIA '!G130*'ADITIVO - PLANILHA ORÇAMETARIA '!F130</f>
        <v>114.09</v>
      </c>
      <c r="I130" s="417">
        <f t="shared" si="3"/>
        <v>143.593674</v>
      </c>
      <c r="J130" s="370">
        <v>31.39</v>
      </c>
      <c r="K130" s="371"/>
    </row>
    <row r="131" spans="1:11" s="372" customFormat="1" ht="13.5" customHeight="1">
      <c r="A131" s="374"/>
      <c r="B131" s="635" t="s">
        <v>1319</v>
      </c>
      <c r="C131" s="413" t="s">
        <v>249</v>
      </c>
      <c r="D131" s="422" t="s">
        <v>250</v>
      </c>
      <c r="E131" s="415" t="s">
        <v>18</v>
      </c>
      <c r="F131" s="413">
        <v>5</v>
      </c>
      <c r="G131" s="416">
        <v>21.84</v>
      </c>
      <c r="H131" s="480">
        <f>'ADITIVO - PLANILHA ORÇAMETARIA '!G131*'ADITIVO - PLANILHA ORÇAMETARIA '!F131</f>
        <v>109.2</v>
      </c>
      <c r="I131" s="417">
        <f t="shared" si="3"/>
        <v>137.43912</v>
      </c>
      <c r="J131" s="370">
        <v>18.45</v>
      </c>
      <c r="K131" s="371"/>
    </row>
    <row r="132" spans="1:11" s="372" customFormat="1" ht="13.5" customHeight="1">
      <c r="A132" s="374"/>
      <c r="B132" s="635" t="s">
        <v>1321</v>
      </c>
      <c r="C132" s="413" t="s">
        <v>252</v>
      </c>
      <c r="D132" s="419" t="s">
        <v>253</v>
      </c>
      <c r="E132" s="415" t="s">
        <v>18</v>
      </c>
      <c r="F132" s="413">
        <v>8</v>
      </c>
      <c r="G132" s="416">
        <v>137.51</v>
      </c>
      <c r="H132" s="480">
        <f>'ADITIVO - PLANILHA ORÇAMETARIA '!G132*'ADITIVO - PLANILHA ORÇAMETARIA '!F132</f>
        <v>1100.08</v>
      </c>
      <c r="I132" s="417">
        <f t="shared" si="3"/>
        <v>1384.5606879999998</v>
      </c>
      <c r="J132" s="370">
        <v>98.82</v>
      </c>
      <c r="K132" s="371"/>
    </row>
    <row r="133" spans="1:11" s="372" customFormat="1" ht="13.5" customHeight="1">
      <c r="A133" s="374"/>
      <c r="B133" s="635" t="s">
        <v>1324</v>
      </c>
      <c r="C133" s="413" t="s">
        <v>255</v>
      </c>
      <c r="D133" s="419" t="s">
        <v>256</v>
      </c>
      <c r="E133" s="415" t="s">
        <v>18</v>
      </c>
      <c r="F133" s="413">
        <v>7</v>
      </c>
      <c r="G133" s="416">
        <v>54.94</v>
      </c>
      <c r="H133" s="480">
        <f>'ADITIVO - PLANILHA ORÇAMETARIA '!G133*'ADITIVO - PLANILHA ORÇAMETARIA '!F133</f>
        <v>384.58</v>
      </c>
      <c r="I133" s="417">
        <f t="shared" si="3"/>
        <v>484.03238799999997</v>
      </c>
      <c r="J133" s="370">
        <v>41.49</v>
      </c>
      <c r="K133" s="371"/>
    </row>
    <row r="134" spans="1:11" s="372" customFormat="1" ht="13.5" customHeight="1">
      <c r="A134" s="374"/>
      <c r="B134" s="635" t="s">
        <v>1327</v>
      </c>
      <c r="C134" s="413" t="s">
        <v>258</v>
      </c>
      <c r="D134" s="422" t="s">
        <v>259</v>
      </c>
      <c r="E134" s="415" t="s">
        <v>18</v>
      </c>
      <c r="F134" s="413">
        <v>23</v>
      </c>
      <c r="G134" s="416">
        <v>30.96</v>
      </c>
      <c r="H134" s="480">
        <f>'ADITIVO - PLANILHA ORÇAMETARIA '!G134*'ADITIVO - PLANILHA ORÇAMETARIA '!F134</f>
        <v>712.08</v>
      </c>
      <c r="I134" s="417">
        <f t="shared" si="3"/>
        <v>896.223888</v>
      </c>
      <c r="J134" s="370">
        <v>23.87</v>
      </c>
      <c r="K134" s="371"/>
    </row>
    <row r="135" spans="1:11" s="372" customFormat="1" ht="13.5" customHeight="1">
      <c r="A135" s="374"/>
      <c r="B135" s="635" t="s">
        <v>1330</v>
      </c>
      <c r="C135" s="413" t="s">
        <v>261</v>
      </c>
      <c r="D135" s="422" t="s">
        <v>262</v>
      </c>
      <c r="E135" s="415" t="s">
        <v>18</v>
      </c>
      <c r="F135" s="413">
        <v>4</v>
      </c>
      <c r="G135" s="416">
        <v>6.86</v>
      </c>
      <c r="H135" s="480">
        <f>'ADITIVO - PLANILHA ORÇAMETARIA '!G135*'ADITIVO - PLANILHA ORÇAMETARIA '!F135</f>
        <v>27.44</v>
      </c>
      <c r="I135" s="417">
        <f t="shared" si="3"/>
        <v>34.535984</v>
      </c>
      <c r="J135" s="370">
        <v>6.34</v>
      </c>
      <c r="K135" s="371"/>
    </row>
    <row r="136" spans="1:11" s="372" customFormat="1" ht="13.5" customHeight="1">
      <c r="A136" s="374"/>
      <c r="B136" s="635" t="s">
        <v>1333</v>
      </c>
      <c r="C136" s="413" t="s">
        <v>264</v>
      </c>
      <c r="D136" s="422" t="s">
        <v>265</v>
      </c>
      <c r="E136" s="415" t="s">
        <v>18</v>
      </c>
      <c r="F136" s="413">
        <v>18</v>
      </c>
      <c r="G136" s="416">
        <f>COMPOSIÇÕES!F145</f>
        <v>33.748920000000005</v>
      </c>
      <c r="H136" s="480">
        <f>'ADITIVO - PLANILHA ORÇAMETARIA '!G136*'ADITIVO - PLANILHA ORÇAMETARIA '!F136</f>
        <v>607.4805600000001</v>
      </c>
      <c r="I136" s="417">
        <f t="shared" si="3"/>
        <v>764.5750328160001</v>
      </c>
      <c r="J136" s="370">
        <v>33.70078</v>
      </c>
      <c r="K136" s="371"/>
    </row>
    <row r="137" spans="1:11" s="372" customFormat="1" ht="13.5" customHeight="1">
      <c r="A137" s="374"/>
      <c r="B137" s="635" t="s">
        <v>1336</v>
      </c>
      <c r="C137" s="413" t="s">
        <v>267</v>
      </c>
      <c r="D137" s="422" t="s">
        <v>268</v>
      </c>
      <c r="E137" s="415" t="s">
        <v>18</v>
      </c>
      <c r="F137" s="413">
        <v>52</v>
      </c>
      <c r="G137" s="416">
        <f>COMPOSIÇÕES!F156</f>
        <v>12.448920000000001</v>
      </c>
      <c r="H137" s="480">
        <f>'ADITIVO - PLANILHA ORÇAMETARIA '!G137*'ADITIVO - PLANILHA ORÇAMETARIA '!F137</f>
        <v>647.34384</v>
      </c>
      <c r="I137" s="417">
        <f t="shared" si="3"/>
        <v>814.7469570239999</v>
      </c>
      <c r="J137" s="370">
        <v>12.400780000000001</v>
      </c>
      <c r="K137" s="371"/>
    </row>
    <row r="138" spans="1:11" s="372" customFormat="1" ht="13.5" customHeight="1">
      <c r="A138" s="374"/>
      <c r="B138" s="635" t="s">
        <v>1339</v>
      </c>
      <c r="C138" s="413" t="s">
        <v>270</v>
      </c>
      <c r="D138" s="422" t="s">
        <v>271</v>
      </c>
      <c r="E138" s="415" t="s">
        <v>18</v>
      </c>
      <c r="F138" s="413">
        <v>6</v>
      </c>
      <c r="G138" s="416">
        <f>COMPOSIÇÕES!F178</f>
        <v>2.54073</v>
      </c>
      <c r="H138" s="480">
        <f>'ADITIVO - PLANILHA ORÇAMETARIA '!G138*'ADITIVO - PLANILHA ORÇAMETARIA '!F138</f>
        <v>15.24438</v>
      </c>
      <c r="I138" s="417">
        <f t="shared" si="3"/>
        <v>19.186576667999997</v>
      </c>
      <c r="J138" s="370">
        <v>2.5135599999999996</v>
      </c>
      <c r="K138" s="371"/>
    </row>
    <row r="139" spans="1:11" s="372" customFormat="1" ht="13.5" customHeight="1">
      <c r="A139" s="374"/>
      <c r="B139" s="635" t="s">
        <v>1342</v>
      </c>
      <c r="C139" s="413" t="s">
        <v>273</v>
      </c>
      <c r="D139" s="419" t="s">
        <v>274</v>
      </c>
      <c r="E139" s="415" t="s">
        <v>18</v>
      </c>
      <c r="F139" s="413">
        <v>2</v>
      </c>
      <c r="G139" s="416">
        <v>33.85</v>
      </c>
      <c r="H139" s="480">
        <f>'ADITIVO - PLANILHA ORÇAMETARIA '!G139*'ADITIVO - PLANILHA ORÇAMETARIA '!F139</f>
        <v>67.7</v>
      </c>
      <c r="I139" s="417">
        <f t="shared" si="3"/>
        <v>85.20722</v>
      </c>
      <c r="J139" s="370">
        <v>34.36</v>
      </c>
      <c r="K139" s="371"/>
    </row>
    <row r="140" spans="1:11" s="372" customFormat="1" ht="13.5" customHeight="1">
      <c r="A140" s="374"/>
      <c r="B140" s="635" t="s">
        <v>1689</v>
      </c>
      <c r="C140" s="413" t="s">
        <v>276</v>
      </c>
      <c r="D140" s="419" t="s">
        <v>277</v>
      </c>
      <c r="E140" s="415" t="s">
        <v>18</v>
      </c>
      <c r="F140" s="413">
        <v>8</v>
      </c>
      <c r="G140" s="416">
        <v>18.57</v>
      </c>
      <c r="H140" s="480">
        <f>'ADITIVO - PLANILHA ORÇAMETARIA '!G140*'ADITIVO - PLANILHA ORÇAMETARIA '!F140</f>
        <v>148.56</v>
      </c>
      <c r="I140" s="417">
        <f t="shared" si="3"/>
        <v>186.97761599999998</v>
      </c>
      <c r="J140" s="370">
        <v>18.6</v>
      </c>
      <c r="K140" s="371"/>
    </row>
    <row r="141" spans="1:11" s="372" customFormat="1" ht="13.5" customHeight="1">
      <c r="A141" s="374"/>
      <c r="B141" s="635" t="s">
        <v>1690</v>
      </c>
      <c r="C141" s="413" t="s">
        <v>279</v>
      </c>
      <c r="D141" s="419" t="s">
        <v>280</v>
      </c>
      <c r="E141" s="415" t="s">
        <v>18</v>
      </c>
      <c r="F141" s="413">
        <v>2</v>
      </c>
      <c r="G141" s="416">
        <v>18.06</v>
      </c>
      <c r="H141" s="480">
        <f>'ADITIVO - PLANILHA ORÇAMETARIA '!G141*'ADITIVO - PLANILHA ORÇAMETARIA '!F141</f>
        <v>36.12</v>
      </c>
      <c r="I141" s="417">
        <f t="shared" si="3"/>
        <v>45.460632</v>
      </c>
      <c r="J141" s="370">
        <v>18.3</v>
      </c>
      <c r="K141" s="371"/>
    </row>
    <row r="142" spans="1:11" s="372" customFormat="1" ht="13.5" customHeight="1">
      <c r="A142" s="374"/>
      <c r="B142" s="635" t="s">
        <v>1691</v>
      </c>
      <c r="C142" s="413" t="s">
        <v>282</v>
      </c>
      <c r="D142" s="419" t="s">
        <v>283</v>
      </c>
      <c r="E142" s="415" t="s">
        <v>18</v>
      </c>
      <c r="F142" s="413">
        <v>8</v>
      </c>
      <c r="G142" s="416">
        <v>258.82</v>
      </c>
      <c r="H142" s="480">
        <f>'ADITIVO - PLANILHA ORÇAMETARIA '!G142*'ADITIVO - PLANILHA ORÇAMETARIA '!F142</f>
        <v>2070.56</v>
      </c>
      <c r="I142" s="417">
        <f t="shared" si="3"/>
        <v>2606.0068159999996</v>
      </c>
      <c r="J142" s="370">
        <v>277.18</v>
      </c>
      <c r="K142" s="371"/>
    </row>
    <row r="143" spans="1:11" s="372" customFormat="1" ht="13.5" customHeight="1">
      <c r="A143" s="374"/>
      <c r="B143" s="635" t="s">
        <v>1692</v>
      </c>
      <c r="C143" s="413" t="s">
        <v>285</v>
      </c>
      <c r="D143" s="422" t="s">
        <v>286</v>
      </c>
      <c r="E143" s="415" t="s">
        <v>18</v>
      </c>
      <c r="F143" s="413">
        <v>8</v>
      </c>
      <c r="G143" s="416">
        <v>41.2</v>
      </c>
      <c r="H143" s="480">
        <f>'ADITIVO - PLANILHA ORÇAMETARIA '!G143*'ADITIVO - PLANILHA ORÇAMETARIA '!F143</f>
        <v>329.6</v>
      </c>
      <c r="I143" s="417">
        <f t="shared" si="3"/>
        <v>414.83456</v>
      </c>
      <c r="J143" s="370">
        <v>43.68</v>
      </c>
      <c r="K143" s="371"/>
    </row>
    <row r="144" spans="1:11" s="372" customFormat="1" ht="13.5" customHeight="1">
      <c r="A144" s="374"/>
      <c r="B144" s="635" t="s">
        <v>1693</v>
      </c>
      <c r="C144" s="413" t="s">
        <v>288</v>
      </c>
      <c r="D144" s="422" t="s">
        <v>289</v>
      </c>
      <c r="E144" s="415" t="s">
        <v>18</v>
      </c>
      <c r="F144" s="413">
        <v>4</v>
      </c>
      <c r="G144" s="416">
        <f>COMPOSIÇÕES!F167</f>
        <v>7.787400000000001</v>
      </c>
      <c r="H144" s="480">
        <f>'ADITIVO - PLANILHA ORÇAMETARIA '!G144*'ADITIVO - PLANILHA ORÇAMETARIA '!F144</f>
        <v>31.149600000000003</v>
      </c>
      <c r="I144" s="417">
        <f t="shared" si="3"/>
        <v>39.20488656</v>
      </c>
      <c r="J144" s="370">
        <v>6.978890000000001</v>
      </c>
      <c r="K144" s="371"/>
    </row>
    <row r="145" spans="1:11" s="372" customFormat="1" ht="13.5" customHeight="1">
      <c r="A145" s="374"/>
      <c r="B145" s="635" t="s">
        <v>1694</v>
      </c>
      <c r="C145" s="413" t="s">
        <v>292</v>
      </c>
      <c r="D145" s="419" t="s">
        <v>293</v>
      </c>
      <c r="E145" s="415" t="s">
        <v>18</v>
      </c>
      <c r="F145" s="413">
        <v>1</v>
      </c>
      <c r="G145" s="416">
        <v>87.98</v>
      </c>
      <c r="H145" s="480">
        <f>'ADITIVO - PLANILHA ORÇAMETARIA '!G145*'ADITIVO - PLANILHA ORÇAMETARIA '!F145</f>
        <v>87.98</v>
      </c>
      <c r="I145" s="417">
        <f t="shared" si="3"/>
        <v>110.731628</v>
      </c>
      <c r="J145" s="370">
        <v>79.28</v>
      </c>
      <c r="K145" s="371"/>
    </row>
    <row r="146" spans="1:11" s="388" customFormat="1" ht="13.5" customHeight="1">
      <c r="A146" s="385"/>
      <c r="B146" s="635" t="s">
        <v>1695</v>
      </c>
      <c r="C146" s="448" t="s">
        <v>746</v>
      </c>
      <c r="D146" s="509" t="s">
        <v>1639</v>
      </c>
      <c r="E146" s="450" t="s">
        <v>18</v>
      </c>
      <c r="F146" s="448">
        <v>4</v>
      </c>
      <c r="G146" s="451">
        <f>COMPOSIÇÕES!F343</f>
        <v>47.946422855813985</v>
      </c>
      <c r="H146" s="487">
        <f>'ADITIVO - PLANILHA ORÇAMETARIA '!G146*'ADITIVO - PLANILHA ORÇAMETARIA '!F146</f>
        <v>191.78569142325594</v>
      </c>
      <c r="I146" s="417">
        <f t="shared" si="3"/>
        <v>241.38147122530992</v>
      </c>
      <c r="J146" s="386">
        <v>47.24333333333333</v>
      </c>
      <c r="K146" s="387"/>
    </row>
    <row r="147" spans="1:11" s="388" customFormat="1" ht="13.5" customHeight="1">
      <c r="A147" s="385"/>
      <c r="B147" s="635" t="s">
        <v>1696</v>
      </c>
      <c r="C147" s="408" t="s">
        <v>296</v>
      </c>
      <c r="D147" s="449" t="s">
        <v>525</v>
      </c>
      <c r="E147" s="450" t="s">
        <v>18</v>
      </c>
      <c r="F147" s="448">
        <v>4</v>
      </c>
      <c r="G147" s="412">
        <v>24.07</v>
      </c>
      <c r="H147" s="487">
        <f>'ADITIVO - PLANILHA ORÇAMETARIA '!G147*'ADITIVO - PLANILHA ORÇAMETARIA '!F147</f>
        <v>96.28</v>
      </c>
      <c r="I147" s="417">
        <f t="shared" si="3"/>
        <v>121.17800799999999</v>
      </c>
      <c r="J147" s="386">
        <v>24.07</v>
      </c>
      <c r="K147" s="387"/>
    </row>
    <row r="148" spans="1:11" s="372" customFormat="1" ht="13.5" customHeight="1">
      <c r="A148" s="374"/>
      <c r="B148" s="635" t="s">
        <v>1697</v>
      </c>
      <c r="C148" s="414" t="s">
        <v>298</v>
      </c>
      <c r="D148" s="419" t="s">
        <v>299</v>
      </c>
      <c r="E148" s="415" t="s">
        <v>133</v>
      </c>
      <c r="F148" s="413">
        <v>12</v>
      </c>
      <c r="G148" s="416">
        <v>28.73</v>
      </c>
      <c r="H148" s="480">
        <f>'ADITIVO - PLANILHA ORÇAMETARIA '!G148*'ADITIVO - PLANILHA ORÇAMETARIA '!F148</f>
        <v>344.76</v>
      </c>
      <c r="I148" s="417">
        <f t="shared" si="3"/>
        <v>433.91493599999995</v>
      </c>
      <c r="J148" s="370">
        <v>27.3</v>
      </c>
      <c r="K148" s="371"/>
    </row>
    <row r="149" spans="1:11" s="372" customFormat="1" ht="13.5" customHeight="1">
      <c r="A149" s="374"/>
      <c r="B149" s="635" t="s">
        <v>1698</v>
      </c>
      <c r="C149" s="413" t="s">
        <v>301</v>
      </c>
      <c r="D149" s="419" t="s">
        <v>302</v>
      </c>
      <c r="E149" s="415" t="s">
        <v>133</v>
      </c>
      <c r="F149" s="413">
        <v>12</v>
      </c>
      <c r="G149" s="416">
        <v>19.36</v>
      </c>
      <c r="H149" s="480">
        <f>'ADITIVO - PLANILHA ORÇAMETARIA '!G149*'ADITIVO - PLANILHA ORÇAMETARIA '!F149</f>
        <v>232.32</v>
      </c>
      <c r="I149" s="417">
        <f t="shared" si="3"/>
        <v>292.397952</v>
      </c>
      <c r="J149" s="370">
        <v>18.35</v>
      </c>
      <c r="K149" s="371"/>
    </row>
    <row r="150" spans="1:11" s="372" customFormat="1" ht="13.5" customHeight="1">
      <c r="A150" s="374"/>
      <c r="B150" s="635" t="s">
        <v>1699</v>
      </c>
      <c r="C150" s="413" t="s">
        <v>304</v>
      </c>
      <c r="D150" s="419" t="s">
        <v>305</v>
      </c>
      <c r="E150" s="415" t="s">
        <v>18</v>
      </c>
      <c r="F150" s="413">
        <v>7</v>
      </c>
      <c r="G150" s="416">
        <v>511.36</v>
      </c>
      <c r="H150" s="480">
        <f>'ADITIVO - PLANILHA ORÇAMETARIA '!G150*'ADITIVO - PLANILHA ORÇAMETARIA '!F150</f>
        <v>3579.52</v>
      </c>
      <c r="I150" s="417">
        <f t="shared" si="3"/>
        <v>4505.183872</v>
      </c>
      <c r="J150" s="370">
        <v>559.76</v>
      </c>
      <c r="K150" s="371"/>
    </row>
    <row r="151" spans="1:11" s="372" customFormat="1" ht="13.5" customHeight="1">
      <c r="A151" s="374"/>
      <c r="B151" s="635" t="s">
        <v>1700</v>
      </c>
      <c r="C151" s="413" t="s">
        <v>307</v>
      </c>
      <c r="D151" s="419" t="s">
        <v>308</v>
      </c>
      <c r="E151" s="415" t="s">
        <v>18</v>
      </c>
      <c r="F151" s="413">
        <v>8</v>
      </c>
      <c r="G151" s="416">
        <v>218.72</v>
      </c>
      <c r="H151" s="480">
        <f>'ADITIVO - PLANILHA ORÇAMETARIA '!G151*'ADITIVO - PLANILHA ORÇAMETARIA '!F151</f>
        <v>1749.76</v>
      </c>
      <c r="I151" s="417">
        <f t="shared" si="3"/>
        <v>2202.2479359999998</v>
      </c>
      <c r="J151" s="370">
        <v>196.25</v>
      </c>
      <c r="K151" s="371"/>
    </row>
    <row r="152" spans="1:11" s="372" customFormat="1" ht="13.5" customHeight="1">
      <c r="A152" s="374"/>
      <c r="B152" s="635" t="s">
        <v>1701</v>
      </c>
      <c r="C152" s="414" t="s">
        <v>310</v>
      </c>
      <c r="D152" s="419" t="s">
        <v>311</v>
      </c>
      <c r="E152" s="415" t="s">
        <v>18</v>
      </c>
      <c r="F152" s="413">
        <v>3</v>
      </c>
      <c r="G152" s="416">
        <v>262.98</v>
      </c>
      <c r="H152" s="480">
        <f>'ADITIVO - PLANILHA ORÇAMETARIA '!G152*'ADITIVO - PLANILHA ORÇAMETARIA '!F152</f>
        <v>788.94</v>
      </c>
      <c r="I152" s="417">
        <f t="shared" si="3"/>
        <v>992.959884</v>
      </c>
      <c r="J152" s="370">
        <v>238.06</v>
      </c>
      <c r="K152" s="371"/>
    </row>
    <row r="153" spans="1:256" s="357" customFormat="1" ht="13.5" customHeight="1">
      <c r="A153" s="364"/>
      <c r="B153" s="635" t="s">
        <v>1702</v>
      </c>
      <c r="C153" s="424" t="s">
        <v>317</v>
      </c>
      <c r="D153" s="510" t="s">
        <v>318</v>
      </c>
      <c r="E153" s="423" t="s">
        <v>18</v>
      </c>
      <c r="F153" s="424">
        <v>12</v>
      </c>
      <c r="G153" s="453">
        <f>COMPOSIÇÕES!F79</f>
        <v>120.27652101431696</v>
      </c>
      <c r="H153" s="488">
        <f>'ADITIVO - PLANILHA ORÇAMETARIA '!G153*'ADITIVO - PLANILHA ORÇAMETARIA '!F153</f>
        <v>1443.3182521718036</v>
      </c>
      <c r="I153" s="417">
        <f t="shared" si="3"/>
        <v>1816.5603521834319</v>
      </c>
      <c r="J153" s="354">
        <v>118.85666666666668</v>
      </c>
      <c r="K153" s="355"/>
      <c r="L153" s="356"/>
      <c r="M153" s="356"/>
      <c r="N153" s="356"/>
      <c r="O153" s="356"/>
      <c r="P153" s="356"/>
      <c r="Q153" s="356"/>
      <c r="R153" s="356"/>
      <c r="S153" s="356"/>
      <c r="T153" s="356"/>
      <c r="U153" s="356"/>
      <c r="V153" s="356"/>
      <c r="W153" s="356"/>
      <c r="X153" s="356"/>
      <c r="Y153" s="356"/>
      <c r="Z153" s="356"/>
      <c r="AA153" s="356"/>
      <c r="AB153" s="356"/>
      <c r="AC153" s="356"/>
      <c r="AD153" s="356"/>
      <c r="AE153" s="356"/>
      <c r="AF153" s="356"/>
      <c r="AG153" s="356"/>
      <c r="AH153" s="356"/>
      <c r="AI153" s="356"/>
      <c r="AJ153" s="356"/>
      <c r="AK153" s="356"/>
      <c r="AL153" s="356"/>
      <c r="AM153" s="356"/>
      <c r="AN153" s="356"/>
      <c r="AO153" s="356"/>
      <c r="AP153" s="356"/>
      <c r="AQ153" s="356"/>
      <c r="AR153" s="356"/>
      <c r="AS153" s="356"/>
      <c r="AT153" s="356"/>
      <c r="AU153" s="356"/>
      <c r="AV153" s="356"/>
      <c r="AW153" s="356"/>
      <c r="AX153" s="356"/>
      <c r="AY153" s="356"/>
      <c r="AZ153" s="356"/>
      <c r="BA153" s="356"/>
      <c r="BB153" s="356"/>
      <c r="BC153" s="356"/>
      <c r="BD153" s="356"/>
      <c r="BE153" s="356"/>
      <c r="BF153" s="356"/>
      <c r="BG153" s="356"/>
      <c r="BH153" s="356"/>
      <c r="BI153" s="356"/>
      <c r="BJ153" s="356"/>
      <c r="BK153" s="356"/>
      <c r="BL153" s="356"/>
      <c r="BM153" s="356"/>
      <c r="BN153" s="356"/>
      <c r="BO153" s="356"/>
      <c r="BP153" s="356"/>
      <c r="BQ153" s="356"/>
      <c r="BR153" s="356"/>
      <c r="BS153" s="356"/>
      <c r="BT153" s="356"/>
      <c r="BU153" s="356"/>
      <c r="BV153" s="356"/>
      <c r="BW153" s="356"/>
      <c r="BX153" s="356"/>
      <c r="BY153" s="356"/>
      <c r="BZ153" s="356"/>
      <c r="CA153" s="356"/>
      <c r="CB153" s="356"/>
      <c r="CC153" s="356"/>
      <c r="CD153" s="356"/>
      <c r="CE153" s="356"/>
      <c r="CF153" s="356"/>
      <c r="CG153" s="356"/>
      <c r="CH153" s="356"/>
      <c r="CI153" s="356"/>
      <c r="CJ153" s="356"/>
      <c r="CK153" s="356"/>
      <c r="CL153" s="356"/>
      <c r="CM153" s="356"/>
      <c r="CN153" s="356"/>
      <c r="CO153" s="356"/>
      <c r="CP153" s="356"/>
      <c r="CQ153" s="356"/>
      <c r="CR153" s="356"/>
      <c r="CS153" s="356"/>
      <c r="CT153" s="356"/>
      <c r="CU153" s="356"/>
      <c r="CV153" s="356"/>
      <c r="CW153" s="356"/>
      <c r="CX153" s="356"/>
      <c r="CY153" s="356"/>
      <c r="CZ153" s="356"/>
      <c r="DA153" s="356"/>
      <c r="DB153" s="356"/>
      <c r="DC153" s="356"/>
      <c r="DD153" s="356"/>
      <c r="DE153" s="356"/>
      <c r="DF153" s="356"/>
      <c r="DG153" s="356"/>
      <c r="DH153" s="356"/>
      <c r="DI153" s="356"/>
      <c r="DJ153" s="356"/>
      <c r="DK153" s="356"/>
      <c r="DL153" s="356"/>
      <c r="DM153" s="356"/>
      <c r="DN153" s="356"/>
      <c r="DO153" s="356"/>
      <c r="DP153" s="356"/>
      <c r="DQ153" s="356"/>
      <c r="DR153" s="356"/>
      <c r="DS153" s="356"/>
      <c r="DT153" s="356"/>
      <c r="DU153" s="356"/>
      <c r="DV153" s="356"/>
      <c r="DW153" s="356"/>
      <c r="DX153" s="356"/>
      <c r="DY153" s="356"/>
      <c r="DZ153" s="356"/>
      <c r="EA153" s="356"/>
      <c r="EB153" s="356"/>
      <c r="EC153" s="356"/>
      <c r="ED153" s="356"/>
      <c r="EE153" s="356"/>
      <c r="EF153" s="356"/>
      <c r="EG153" s="356"/>
      <c r="EH153" s="356"/>
      <c r="EI153" s="356"/>
      <c r="EJ153" s="356"/>
      <c r="EK153" s="356"/>
      <c r="EL153" s="356"/>
      <c r="EM153" s="356"/>
      <c r="EN153" s="356"/>
      <c r="EO153" s="356"/>
      <c r="EP153" s="356"/>
      <c r="EQ153" s="356"/>
      <c r="ER153" s="356"/>
      <c r="ES153" s="356"/>
      <c r="ET153" s="356"/>
      <c r="EU153" s="356"/>
      <c r="EV153" s="356"/>
      <c r="EW153" s="356"/>
      <c r="EX153" s="356"/>
      <c r="EY153" s="356"/>
      <c r="EZ153" s="356"/>
      <c r="FA153" s="356"/>
      <c r="FB153" s="356"/>
      <c r="FC153" s="356"/>
      <c r="FD153" s="356"/>
      <c r="FE153" s="356"/>
      <c r="FF153" s="356"/>
      <c r="FG153" s="356"/>
      <c r="FH153" s="356"/>
      <c r="FI153" s="356"/>
      <c r="FJ153" s="356"/>
      <c r="FK153" s="356"/>
      <c r="FL153" s="356"/>
      <c r="FM153" s="356"/>
      <c r="FN153" s="356"/>
      <c r="FO153" s="356"/>
      <c r="FP153" s="356"/>
      <c r="FQ153" s="356"/>
      <c r="FR153" s="356"/>
      <c r="FS153" s="356"/>
      <c r="FT153" s="356"/>
      <c r="FU153" s="356"/>
      <c r="FV153" s="356"/>
      <c r="FW153" s="356"/>
      <c r="FX153" s="356"/>
      <c r="FY153" s="356"/>
      <c r="FZ153" s="356"/>
      <c r="GA153" s="356"/>
      <c r="GB153" s="356"/>
      <c r="GC153" s="356"/>
      <c r="GD153" s="356"/>
      <c r="GE153" s="356"/>
      <c r="GF153" s="356"/>
      <c r="GG153" s="356"/>
      <c r="GH153" s="356"/>
      <c r="GI153" s="356"/>
      <c r="GJ153" s="356"/>
      <c r="GK153" s="356"/>
      <c r="GL153" s="356"/>
      <c r="GM153" s="356"/>
      <c r="GN153" s="356"/>
      <c r="GO153" s="356"/>
      <c r="GP153" s="356"/>
      <c r="GQ153" s="356"/>
      <c r="GR153" s="356"/>
      <c r="GS153" s="356"/>
      <c r="GT153" s="356"/>
      <c r="GU153" s="356"/>
      <c r="GV153" s="356"/>
      <c r="GW153" s="356"/>
      <c r="GX153" s="356"/>
      <c r="GY153" s="356"/>
      <c r="GZ153" s="356"/>
      <c r="HA153" s="356"/>
      <c r="HB153" s="356"/>
      <c r="HC153" s="356"/>
      <c r="HD153" s="356"/>
      <c r="HE153" s="356"/>
      <c r="HF153" s="356"/>
      <c r="HG153" s="356"/>
      <c r="HH153" s="356"/>
      <c r="HI153" s="356"/>
      <c r="HJ153" s="356"/>
      <c r="HK153" s="356"/>
      <c r="HL153" s="356"/>
      <c r="HM153" s="356"/>
      <c r="HN153" s="356"/>
      <c r="HO153" s="356"/>
      <c r="HP153" s="356"/>
      <c r="HQ153" s="356"/>
      <c r="HR153" s="356"/>
      <c r="HS153" s="356"/>
      <c r="HT153" s="356"/>
      <c r="HU153" s="356"/>
      <c r="HV153" s="356"/>
      <c r="HW153" s="356"/>
      <c r="HX153" s="356"/>
      <c r="HY153" s="356"/>
      <c r="HZ153" s="356"/>
      <c r="IA153" s="356"/>
      <c r="IB153" s="356"/>
      <c r="IC153" s="356"/>
      <c r="ID153" s="356"/>
      <c r="IE153" s="356"/>
      <c r="IF153" s="356"/>
      <c r="IG153" s="356"/>
      <c r="IH153" s="356"/>
      <c r="II153" s="356"/>
      <c r="IJ153" s="356"/>
      <c r="IK153" s="356"/>
      <c r="IL153" s="356"/>
      <c r="IM153" s="356"/>
      <c r="IN153" s="356"/>
      <c r="IO153" s="356"/>
      <c r="IP153" s="356"/>
      <c r="IQ153" s="356"/>
      <c r="IR153" s="356"/>
      <c r="IS153" s="356"/>
      <c r="IT153" s="356"/>
      <c r="IU153" s="356"/>
      <c r="IV153" s="356"/>
    </row>
    <row r="154" spans="1:256" s="357" customFormat="1" ht="13.5" customHeight="1">
      <c r="A154" s="382"/>
      <c r="B154" s="635" t="s">
        <v>1703</v>
      </c>
      <c r="C154" s="424" t="s">
        <v>320</v>
      </c>
      <c r="D154" s="452" t="s">
        <v>321</v>
      </c>
      <c r="E154" s="423" t="s">
        <v>18</v>
      </c>
      <c r="F154" s="424">
        <v>6</v>
      </c>
      <c r="G154" s="453">
        <f>COMPOSIÇÕES!F87</f>
        <v>184.78197809261428</v>
      </c>
      <c r="H154" s="488">
        <f>'ADITIVO - PLANILHA ORÇAMETARIA '!G154*'ADITIVO - PLANILHA ORÇAMETARIA '!F154</f>
        <v>1108.6918685556857</v>
      </c>
      <c r="I154" s="417">
        <f aca="true" t="shared" si="4" ref="I154:I201">H154*1.2586</f>
        <v>1395.399585764186</v>
      </c>
      <c r="J154" s="354">
        <v>182.69000000000003</v>
      </c>
      <c r="K154" s="355"/>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356"/>
      <c r="AZ154" s="356"/>
      <c r="BA154" s="356"/>
      <c r="BB154" s="356"/>
      <c r="BC154" s="356"/>
      <c r="BD154" s="356"/>
      <c r="BE154" s="356"/>
      <c r="BF154" s="356"/>
      <c r="BG154" s="356"/>
      <c r="BH154" s="356"/>
      <c r="BI154" s="356"/>
      <c r="BJ154" s="356"/>
      <c r="BK154" s="356"/>
      <c r="BL154" s="356"/>
      <c r="BM154" s="356"/>
      <c r="BN154" s="356"/>
      <c r="BO154" s="356"/>
      <c r="BP154" s="356"/>
      <c r="BQ154" s="356"/>
      <c r="BR154" s="356"/>
      <c r="BS154" s="356"/>
      <c r="BT154" s="356"/>
      <c r="BU154" s="356"/>
      <c r="BV154" s="356"/>
      <c r="BW154" s="356"/>
      <c r="BX154" s="356"/>
      <c r="BY154" s="356"/>
      <c r="BZ154" s="356"/>
      <c r="CA154" s="356"/>
      <c r="CB154" s="356"/>
      <c r="CC154" s="356"/>
      <c r="CD154" s="356"/>
      <c r="CE154" s="356"/>
      <c r="CF154" s="356"/>
      <c r="CG154" s="356"/>
      <c r="CH154" s="356"/>
      <c r="CI154" s="356"/>
      <c r="CJ154" s="356"/>
      <c r="CK154" s="356"/>
      <c r="CL154" s="356"/>
      <c r="CM154" s="356"/>
      <c r="CN154" s="356"/>
      <c r="CO154" s="356"/>
      <c r="CP154" s="356"/>
      <c r="CQ154" s="356"/>
      <c r="CR154" s="356"/>
      <c r="CS154" s="356"/>
      <c r="CT154" s="356"/>
      <c r="CU154" s="356"/>
      <c r="CV154" s="356"/>
      <c r="CW154" s="356"/>
      <c r="CX154" s="356"/>
      <c r="CY154" s="356"/>
      <c r="CZ154" s="356"/>
      <c r="DA154" s="356"/>
      <c r="DB154" s="356"/>
      <c r="DC154" s="356"/>
      <c r="DD154" s="356"/>
      <c r="DE154" s="356"/>
      <c r="DF154" s="356"/>
      <c r="DG154" s="356"/>
      <c r="DH154" s="356"/>
      <c r="DI154" s="356"/>
      <c r="DJ154" s="356"/>
      <c r="DK154" s="356"/>
      <c r="DL154" s="356"/>
      <c r="DM154" s="356"/>
      <c r="DN154" s="356"/>
      <c r="DO154" s="356"/>
      <c r="DP154" s="356"/>
      <c r="DQ154" s="356"/>
      <c r="DR154" s="356"/>
      <c r="DS154" s="356"/>
      <c r="DT154" s="356"/>
      <c r="DU154" s="356"/>
      <c r="DV154" s="356"/>
      <c r="DW154" s="356"/>
      <c r="DX154" s="356"/>
      <c r="DY154" s="356"/>
      <c r="DZ154" s="356"/>
      <c r="EA154" s="356"/>
      <c r="EB154" s="356"/>
      <c r="EC154" s="356"/>
      <c r="ED154" s="356"/>
      <c r="EE154" s="356"/>
      <c r="EF154" s="356"/>
      <c r="EG154" s="356"/>
      <c r="EH154" s="356"/>
      <c r="EI154" s="356"/>
      <c r="EJ154" s="356"/>
      <c r="EK154" s="356"/>
      <c r="EL154" s="356"/>
      <c r="EM154" s="356"/>
      <c r="EN154" s="356"/>
      <c r="EO154" s="356"/>
      <c r="EP154" s="356"/>
      <c r="EQ154" s="356"/>
      <c r="ER154" s="356"/>
      <c r="ES154" s="356"/>
      <c r="ET154" s="356"/>
      <c r="EU154" s="356"/>
      <c r="EV154" s="356"/>
      <c r="EW154" s="356"/>
      <c r="EX154" s="356"/>
      <c r="EY154" s="356"/>
      <c r="EZ154" s="356"/>
      <c r="FA154" s="356"/>
      <c r="FB154" s="356"/>
      <c r="FC154" s="356"/>
      <c r="FD154" s="356"/>
      <c r="FE154" s="356"/>
      <c r="FF154" s="356"/>
      <c r="FG154" s="356"/>
      <c r="FH154" s="356"/>
      <c r="FI154" s="356"/>
      <c r="FJ154" s="356"/>
      <c r="FK154" s="356"/>
      <c r="FL154" s="356"/>
      <c r="FM154" s="356"/>
      <c r="FN154" s="356"/>
      <c r="FO154" s="356"/>
      <c r="FP154" s="356"/>
      <c r="FQ154" s="356"/>
      <c r="FR154" s="356"/>
      <c r="FS154" s="356"/>
      <c r="FT154" s="356"/>
      <c r="FU154" s="356"/>
      <c r="FV154" s="356"/>
      <c r="FW154" s="356"/>
      <c r="FX154" s="356"/>
      <c r="FY154" s="356"/>
      <c r="FZ154" s="356"/>
      <c r="GA154" s="356"/>
      <c r="GB154" s="356"/>
      <c r="GC154" s="356"/>
      <c r="GD154" s="356"/>
      <c r="GE154" s="356"/>
      <c r="GF154" s="356"/>
      <c r="GG154" s="356"/>
      <c r="GH154" s="356"/>
      <c r="GI154" s="356"/>
      <c r="GJ154" s="356"/>
      <c r="GK154" s="356"/>
      <c r="GL154" s="356"/>
      <c r="GM154" s="356"/>
      <c r="GN154" s="356"/>
      <c r="GO154" s="356"/>
      <c r="GP154" s="356"/>
      <c r="GQ154" s="356"/>
      <c r="GR154" s="356"/>
      <c r="GS154" s="356"/>
      <c r="GT154" s="356"/>
      <c r="GU154" s="356"/>
      <c r="GV154" s="356"/>
      <c r="GW154" s="356"/>
      <c r="GX154" s="356"/>
      <c r="GY154" s="356"/>
      <c r="GZ154" s="356"/>
      <c r="HA154" s="356"/>
      <c r="HB154" s="356"/>
      <c r="HC154" s="356"/>
      <c r="HD154" s="356"/>
      <c r="HE154" s="356"/>
      <c r="HF154" s="356"/>
      <c r="HG154" s="356"/>
      <c r="HH154" s="356"/>
      <c r="HI154" s="356"/>
      <c r="HJ154" s="356"/>
      <c r="HK154" s="356"/>
      <c r="HL154" s="356"/>
      <c r="HM154" s="356"/>
      <c r="HN154" s="356"/>
      <c r="HO154" s="356"/>
      <c r="HP154" s="356"/>
      <c r="HQ154" s="356"/>
      <c r="HR154" s="356"/>
      <c r="HS154" s="356"/>
      <c r="HT154" s="356"/>
      <c r="HU154" s="356"/>
      <c r="HV154" s="356"/>
      <c r="HW154" s="356"/>
      <c r="HX154" s="356"/>
      <c r="HY154" s="356"/>
      <c r="HZ154" s="356"/>
      <c r="IA154" s="356"/>
      <c r="IB154" s="356"/>
      <c r="IC154" s="356"/>
      <c r="ID154" s="356"/>
      <c r="IE154" s="356"/>
      <c r="IF154" s="356"/>
      <c r="IG154" s="356"/>
      <c r="IH154" s="356"/>
      <c r="II154" s="356"/>
      <c r="IJ154" s="356"/>
      <c r="IK154" s="356"/>
      <c r="IL154" s="356"/>
      <c r="IM154" s="356"/>
      <c r="IN154" s="356"/>
      <c r="IO154" s="356"/>
      <c r="IP154" s="356"/>
      <c r="IQ154" s="356"/>
      <c r="IR154" s="356"/>
      <c r="IS154" s="356"/>
      <c r="IT154" s="356"/>
      <c r="IU154" s="356"/>
      <c r="IV154" s="356"/>
    </row>
    <row r="155" spans="1:256" s="357" customFormat="1" ht="13.5" customHeight="1">
      <c r="A155" s="383"/>
      <c r="B155" s="635" t="s">
        <v>1704</v>
      </c>
      <c r="C155" s="424" t="s">
        <v>322</v>
      </c>
      <c r="D155" s="452" t="s">
        <v>323</v>
      </c>
      <c r="E155" s="423" t="s">
        <v>18</v>
      </c>
      <c r="F155" s="424">
        <v>8</v>
      </c>
      <c r="G155" s="453">
        <f>COMPOSIÇÕES!F95</f>
        <v>625.0358820958973</v>
      </c>
      <c r="H155" s="488">
        <f>'ADITIVO - PLANILHA ORÇAMETARIA '!G155*'ADITIVO - PLANILHA ORÇAMETARIA '!F155</f>
        <v>5000.287056767178</v>
      </c>
      <c r="I155" s="417">
        <f t="shared" si="4"/>
        <v>6293.3612896471695</v>
      </c>
      <c r="J155" s="354">
        <v>618.19</v>
      </c>
      <c r="K155" s="355"/>
      <c r="L155" s="356"/>
      <c r="M155" s="356"/>
      <c r="N155" s="356"/>
      <c r="O155" s="356"/>
      <c r="P155" s="356"/>
      <c r="Q155" s="356"/>
      <c r="R155" s="356"/>
      <c r="S155" s="356"/>
      <c r="T155" s="356"/>
      <c r="U155" s="356"/>
      <c r="V155" s="356"/>
      <c r="W155" s="356"/>
      <c r="X155" s="356"/>
      <c r="Y155" s="356"/>
      <c r="Z155" s="356"/>
      <c r="AA155" s="356"/>
      <c r="AB155" s="356"/>
      <c r="AC155" s="356"/>
      <c r="AD155" s="356"/>
      <c r="AE155" s="356"/>
      <c r="AF155" s="356"/>
      <c r="AG155" s="356"/>
      <c r="AH155" s="356"/>
      <c r="AI155" s="356"/>
      <c r="AJ155" s="356"/>
      <c r="AK155" s="356"/>
      <c r="AL155" s="356"/>
      <c r="AM155" s="356"/>
      <c r="AN155" s="356"/>
      <c r="AO155" s="356"/>
      <c r="AP155" s="356"/>
      <c r="AQ155" s="356"/>
      <c r="AR155" s="356"/>
      <c r="AS155" s="356"/>
      <c r="AT155" s="356"/>
      <c r="AU155" s="356"/>
      <c r="AV155" s="356"/>
      <c r="AW155" s="356"/>
      <c r="AX155" s="356"/>
      <c r="AY155" s="356"/>
      <c r="AZ155" s="356"/>
      <c r="BA155" s="356"/>
      <c r="BB155" s="356"/>
      <c r="BC155" s="356"/>
      <c r="BD155" s="356"/>
      <c r="BE155" s="356"/>
      <c r="BF155" s="356"/>
      <c r="BG155" s="356"/>
      <c r="BH155" s="356"/>
      <c r="BI155" s="356"/>
      <c r="BJ155" s="356"/>
      <c r="BK155" s="356"/>
      <c r="BL155" s="356"/>
      <c r="BM155" s="356"/>
      <c r="BN155" s="356"/>
      <c r="BO155" s="356"/>
      <c r="BP155" s="356"/>
      <c r="BQ155" s="356"/>
      <c r="BR155" s="356"/>
      <c r="BS155" s="356"/>
      <c r="BT155" s="356"/>
      <c r="BU155" s="356"/>
      <c r="BV155" s="356"/>
      <c r="BW155" s="356"/>
      <c r="BX155" s="356"/>
      <c r="BY155" s="356"/>
      <c r="BZ155" s="356"/>
      <c r="CA155" s="356"/>
      <c r="CB155" s="356"/>
      <c r="CC155" s="356"/>
      <c r="CD155" s="356"/>
      <c r="CE155" s="356"/>
      <c r="CF155" s="356"/>
      <c r="CG155" s="356"/>
      <c r="CH155" s="356"/>
      <c r="CI155" s="356"/>
      <c r="CJ155" s="356"/>
      <c r="CK155" s="356"/>
      <c r="CL155" s="356"/>
      <c r="CM155" s="356"/>
      <c r="CN155" s="356"/>
      <c r="CO155" s="356"/>
      <c r="CP155" s="356"/>
      <c r="CQ155" s="356"/>
      <c r="CR155" s="356"/>
      <c r="CS155" s="356"/>
      <c r="CT155" s="356"/>
      <c r="CU155" s="356"/>
      <c r="CV155" s="356"/>
      <c r="CW155" s="356"/>
      <c r="CX155" s="356"/>
      <c r="CY155" s="356"/>
      <c r="CZ155" s="356"/>
      <c r="DA155" s="356"/>
      <c r="DB155" s="356"/>
      <c r="DC155" s="356"/>
      <c r="DD155" s="356"/>
      <c r="DE155" s="356"/>
      <c r="DF155" s="356"/>
      <c r="DG155" s="356"/>
      <c r="DH155" s="356"/>
      <c r="DI155" s="356"/>
      <c r="DJ155" s="356"/>
      <c r="DK155" s="356"/>
      <c r="DL155" s="356"/>
      <c r="DM155" s="356"/>
      <c r="DN155" s="356"/>
      <c r="DO155" s="356"/>
      <c r="DP155" s="356"/>
      <c r="DQ155" s="356"/>
      <c r="DR155" s="356"/>
      <c r="DS155" s="356"/>
      <c r="DT155" s="356"/>
      <c r="DU155" s="356"/>
      <c r="DV155" s="356"/>
      <c r="DW155" s="356"/>
      <c r="DX155" s="356"/>
      <c r="DY155" s="356"/>
      <c r="DZ155" s="356"/>
      <c r="EA155" s="356"/>
      <c r="EB155" s="356"/>
      <c r="EC155" s="356"/>
      <c r="ED155" s="356"/>
      <c r="EE155" s="356"/>
      <c r="EF155" s="356"/>
      <c r="EG155" s="356"/>
      <c r="EH155" s="356"/>
      <c r="EI155" s="356"/>
      <c r="EJ155" s="356"/>
      <c r="EK155" s="356"/>
      <c r="EL155" s="356"/>
      <c r="EM155" s="356"/>
      <c r="EN155" s="356"/>
      <c r="EO155" s="356"/>
      <c r="EP155" s="356"/>
      <c r="EQ155" s="356"/>
      <c r="ER155" s="356"/>
      <c r="ES155" s="356"/>
      <c r="ET155" s="356"/>
      <c r="EU155" s="356"/>
      <c r="EV155" s="356"/>
      <c r="EW155" s="356"/>
      <c r="EX155" s="356"/>
      <c r="EY155" s="356"/>
      <c r="EZ155" s="356"/>
      <c r="FA155" s="356"/>
      <c r="FB155" s="356"/>
      <c r="FC155" s="356"/>
      <c r="FD155" s="356"/>
      <c r="FE155" s="356"/>
      <c r="FF155" s="356"/>
      <c r="FG155" s="356"/>
      <c r="FH155" s="356"/>
      <c r="FI155" s="356"/>
      <c r="FJ155" s="356"/>
      <c r="FK155" s="356"/>
      <c r="FL155" s="356"/>
      <c r="FM155" s="356"/>
      <c r="FN155" s="356"/>
      <c r="FO155" s="356"/>
      <c r="FP155" s="356"/>
      <c r="FQ155" s="356"/>
      <c r="FR155" s="356"/>
      <c r="FS155" s="356"/>
      <c r="FT155" s="356"/>
      <c r="FU155" s="356"/>
      <c r="FV155" s="356"/>
      <c r="FW155" s="356"/>
      <c r="FX155" s="356"/>
      <c r="FY155" s="356"/>
      <c r="FZ155" s="356"/>
      <c r="GA155" s="356"/>
      <c r="GB155" s="356"/>
      <c r="GC155" s="356"/>
      <c r="GD155" s="356"/>
      <c r="GE155" s="356"/>
      <c r="GF155" s="356"/>
      <c r="GG155" s="356"/>
      <c r="GH155" s="356"/>
      <c r="GI155" s="356"/>
      <c r="GJ155" s="356"/>
      <c r="GK155" s="356"/>
      <c r="GL155" s="356"/>
      <c r="GM155" s="356"/>
      <c r="GN155" s="356"/>
      <c r="GO155" s="356"/>
      <c r="GP155" s="356"/>
      <c r="GQ155" s="356"/>
      <c r="GR155" s="356"/>
      <c r="GS155" s="356"/>
      <c r="GT155" s="356"/>
      <c r="GU155" s="356"/>
      <c r="GV155" s="356"/>
      <c r="GW155" s="356"/>
      <c r="GX155" s="356"/>
      <c r="GY155" s="356"/>
      <c r="GZ155" s="356"/>
      <c r="HA155" s="356"/>
      <c r="HB155" s="356"/>
      <c r="HC155" s="356"/>
      <c r="HD155" s="356"/>
      <c r="HE155" s="356"/>
      <c r="HF155" s="356"/>
      <c r="HG155" s="356"/>
      <c r="HH155" s="356"/>
      <c r="HI155" s="356"/>
      <c r="HJ155" s="356"/>
      <c r="HK155" s="356"/>
      <c r="HL155" s="356"/>
      <c r="HM155" s="356"/>
      <c r="HN155" s="356"/>
      <c r="HO155" s="356"/>
      <c r="HP155" s="356"/>
      <c r="HQ155" s="356"/>
      <c r="HR155" s="356"/>
      <c r="HS155" s="356"/>
      <c r="HT155" s="356"/>
      <c r="HU155" s="356"/>
      <c r="HV155" s="356"/>
      <c r="HW155" s="356"/>
      <c r="HX155" s="356"/>
      <c r="HY155" s="356"/>
      <c r="HZ155" s="356"/>
      <c r="IA155" s="356"/>
      <c r="IB155" s="356"/>
      <c r="IC155" s="356"/>
      <c r="ID155" s="356"/>
      <c r="IE155" s="356"/>
      <c r="IF155" s="356"/>
      <c r="IG155" s="356"/>
      <c r="IH155" s="356"/>
      <c r="II155" s="356"/>
      <c r="IJ155" s="356"/>
      <c r="IK155" s="356"/>
      <c r="IL155" s="356"/>
      <c r="IM155" s="356"/>
      <c r="IN155" s="356"/>
      <c r="IO155" s="356"/>
      <c r="IP155" s="356"/>
      <c r="IQ155" s="356"/>
      <c r="IR155" s="356"/>
      <c r="IS155" s="356"/>
      <c r="IT155" s="356"/>
      <c r="IU155" s="356"/>
      <c r="IV155" s="356"/>
    </row>
    <row r="156" spans="1:256" s="357" customFormat="1" ht="13.5" customHeight="1" thickBot="1">
      <c r="A156" s="383"/>
      <c r="B156" s="635" t="s">
        <v>1705</v>
      </c>
      <c r="C156" s="424" t="s">
        <v>821</v>
      </c>
      <c r="D156" s="452" t="s">
        <v>1655</v>
      </c>
      <c r="E156" s="423" t="s">
        <v>18</v>
      </c>
      <c r="F156" s="424">
        <v>4</v>
      </c>
      <c r="G156" s="453">
        <f>COMPOSIÇÕES!F359</f>
        <v>332.68979116353</v>
      </c>
      <c r="H156" s="488">
        <f>'ADITIVO - PLANILHA ORÇAMETARIA '!G156*'ADITIVO - PLANILHA ORÇAMETARIA '!F156</f>
        <v>1330.75916465412</v>
      </c>
      <c r="I156" s="620">
        <f t="shared" si="4"/>
        <v>1674.8934846336754</v>
      </c>
      <c r="J156" s="354">
        <v>329.0566666666667</v>
      </c>
      <c r="K156" s="355"/>
      <c r="L156" s="356"/>
      <c r="M156" s="356"/>
      <c r="N156" s="356"/>
      <c r="O156" s="356"/>
      <c r="P156" s="356"/>
      <c r="Q156" s="356"/>
      <c r="R156" s="356"/>
      <c r="S156" s="356"/>
      <c r="T156" s="356"/>
      <c r="U156" s="356"/>
      <c r="V156" s="356"/>
      <c r="W156" s="356"/>
      <c r="X156" s="356"/>
      <c r="Y156" s="356"/>
      <c r="Z156" s="356"/>
      <c r="AA156" s="356"/>
      <c r="AB156" s="356"/>
      <c r="AC156" s="356"/>
      <c r="AD156" s="356"/>
      <c r="AE156" s="356"/>
      <c r="AF156" s="356"/>
      <c r="AG156" s="356"/>
      <c r="AH156" s="356"/>
      <c r="AI156" s="356"/>
      <c r="AJ156" s="356"/>
      <c r="AK156" s="356"/>
      <c r="AL156" s="356"/>
      <c r="AM156" s="356"/>
      <c r="AN156" s="356"/>
      <c r="AO156" s="356"/>
      <c r="AP156" s="356"/>
      <c r="AQ156" s="356"/>
      <c r="AR156" s="356"/>
      <c r="AS156" s="356"/>
      <c r="AT156" s="356"/>
      <c r="AU156" s="356"/>
      <c r="AV156" s="356"/>
      <c r="AW156" s="356"/>
      <c r="AX156" s="356"/>
      <c r="AY156" s="356"/>
      <c r="AZ156" s="356"/>
      <c r="BA156" s="356"/>
      <c r="BB156" s="356"/>
      <c r="BC156" s="356"/>
      <c r="BD156" s="356"/>
      <c r="BE156" s="356"/>
      <c r="BF156" s="356"/>
      <c r="BG156" s="356"/>
      <c r="BH156" s="356"/>
      <c r="BI156" s="356"/>
      <c r="BJ156" s="356"/>
      <c r="BK156" s="356"/>
      <c r="BL156" s="356"/>
      <c r="BM156" s="356"/>
      <c r="BN156" s="356"/>
      <c r="BO156" s="356"/>
      <c r="BP156" s="356"/>
      <c r="BQ156" s="356"/>
      <c r="BR156" s="356"/>
      <c r="BS156" s="356"/>
      <c r="BT156" s="356"/>
      <c r="BU156" s="356"/>
      <c r="BV156" s="356"/>
      <c r="BW156" s="356"/>
      <c r="BX156" s="356"/>
      <c r="BY156" s="356"/>
      <c r="BZ156" s="356"/>
      <c r="CA156" s="356"/>
      <c r="CB156" s="356"/>
      <c r="CC156" s="356"/>
      <c r="CD156" s="356"/>
      <c r="CE156" s="356"/>
      <c r="CF156" s="356"/>
      <c r="CG156" s="356"/>
      <c r="CH156" s="356"/>
      <c r="CI156" s="356"/>
      <c r="CJ156" s="356"/>
      <c r="CK156" s="356"/>
      <c r="CL156" s="356"/>
      <c r="CM156" s="356"/>
      <c r="CN156" s="356"/>
      <c r="CO156" s="356"/>
      <c r="CP156" s="356"/>
      <c r="CQ156" s="356"/>
      <c r="CR156" s="356"/>
      <c r="CS156" s="356"/>
      <c r="CT156" s="356"/>
      <c r="CU156" s="356"/>
      <c r="CV156" s="356"/>
      <c r="CW156" s="356"/>
      <c r="CX156" s="356"/>
      <c r="CY156" s="356"/>
      <c r="CZ156" s="356"/>
      <c r="DA156" s="356"/>
      <c r="DB156" s="356"/>
      <c r="DC156" s="356"/>
      <c r="DD156" s="356"/>
      <c r="DE156" s="356"/>
      <c r="DF156" s="356"/>
      <c r="DG156" s="356"/>
      <c r="DH156" s="356"/>
      <c r="DI156" s="356"/>
      <c r="DJ156" s="356"/>
      <c r="DK156" s="356"/>
      <c r="DL156" s="356"/>
      <c r="DM156" s="356"/>
      <c r="DN156" s="356"/>
      <c r="DO156" s="356"/>
      <c r="DP156" s="356"/>
      <c r="DQ156" s="356"/>
      <c r="DR156" s="356"/>
      <c r="DS156" s="356"/>
      <c r="DT156" s="356"/>
      <c r="DU156" s="356"/>
      <c r="DV156" s="356"/>
      <c r="DW156" s="356"/>
      <c r="DX156" s="356"/>
      <c r="DY156" s="356"/>
      <c r="DZ156" s="356"/>
      <c r="EA156" s="356"/>
      <c r="EB156" s="356"/>
      <c r="EC156" s="356"/>
      <c r="ED156" s="356"/>
      <c r="EE156" s="356"/>
      <c r="EF156" s="356"/>
      <c r="EG156" s="356"/>
      <c r="EH156" s="356"/>
      <c r="EI156" s="356"/>
      <c r="EJ156" s="356"/>
      <c r="EK156" s="356"/>
      <c r="EL156" s="356"/>
      <c r="EM156" s="356"/>
      <c r="EN156" s="356"/>
      <c r="EO156" s="356"/>
      <c r="EP156" s="356"/>
      <c r="EQ156" s="356"/>
      <c r="ER156" s="356"/>
      <c r="ES156" s="356"/>
      <c r="ET156" s="356"/>
      <c r="EU156" s="356"/>
      <c r="EV156" s="356"/>
      <c r="EW156" s="356"/>
      <c r="EX156" s="356"/>
      <c r="EY156" s="356"/>
      <c r="EZ156" s="356"/>
      <c r="FA156" s="356"/>
      <c r="FB156" s="356"/>
      <c r="FC156" s="356"/>
      <c r="FD156" s="356"/>
      <c r="FE156" s="356"/>
      <c r="FF156" s="356"/>
      <c r="FG156" s="356"/>
      <c r="FH156" s="356"/>
      <c r="FI156" s="356"/>
      <c r="FJ156" s="356"/>
      <c r="FK156" s="356"/>
      <c r="FL156" s="356"/>
      <c r="FM156" s="356"/>
      <c r="FN156" s="356"/>
      <c r="FO156" s="356"/>
      <c r="FP156" s="356"/>
      <c r="FQ156" s="356"/>
      <c r="FR156" s="356"/>
      <c r="FS156" s="356"/>
      <c r="FT156" s="356"/>
      <c r="FU156" s="356"/>
      <c r="FV156" s="356"/>
      <c r="FW156" s="356"/>
      <c r="FX156" s="356"/>
      <c r="FY156" s="356"/>
      <c r="FZ156" s="356"/>
      <c r="GA156" s="356"/>
      <c r="GB156" s="356"/>
      <c r="GC156" s="356"/>
      <c r="GD156" s="356"/>
      <c r="GE156" s="356"/>
      <c r="GF156" s="356"/>
      <c r="GG156" s="356"/>
      <c r="GH156" s="356"/>
      <c r="GI156" s="356"/>
      <c r="GJ156" s="356"/>
      <c r="GK156" s="356"/>
      <c r="GL156" s="356"/>
      <c r="GM156" s="356"/>
      <c r="GN156" s="356"/>
      <c r="GO156" s="356"/>
      <c r="GP156" s="356"/>
      <c r="GQ156" s="356"/>
      <c r="GR156" s="356"/>
      <c r="GS156" s="356"/>
      <c r="GT156" s="356"/>
      <c r="GU156" s="356"/>
      <c r="GV156" s="356"/>
      <c r="GW156" s="356"/>
      <c r="GX156" s="356"/>
      <c r="GY156" s="356"/>
      <c r="GZ156" s="356"/>
      <c r="HA156" s="356"/>
      <c r="HB156" s="356"/>
      <c r="HC156" s="356"/>
      <c r="HD156" s="356"/>
      <c r="HE156" s="356"/>
      <c r="HF156" s="356"/>
      <c r="HG156" s="356"/>
      <c r="HH156" s="356"/>
      <c r="HI156" s="356"/>
      <c r="HJ156" s="356"/>
      <c r="HK156" s="356"/>
      <c r="HL156" s="356"/>
      <c r="HM156" s="356"/>
      <c r="HN156" s="356"/>
      <c r="HO156" s="356"/>
      <c r="HP156" s="356"/>
      <c r="HQ156" s="356"/>
      <c r="HR156" s="356"/>
      <c r="HS156" s="356"/>
      <c r="HT156" s="356"/>
      <c r="HU156" s="356"/>
      <c r="HV156" s="356"/>
      <c r="HW156" s="356"/>
      <c r="HX156" s="356"/>
      <c r="HY156" s="356"/>
      <c r="HZ156" s="356"/>
      <c r="IA156" s="356"/>
      <c r="IB156" s="356"/>
      <c r="IC156" s="356"/>
      <c r="ID156" s="356"/>
      <c r="IE156" s="356"/>
      <c r="IF156" s="356"/>
      <c r="IG156" s="356"/>
      <c r="IH156" s="356"/>
      <c r="II156" s="356"/>
      <c r="IJ156" s="356"/>
      <c r="IK156" s="356"/>
      <c r="IL156" s="356"/>
      <c r="IM156" s="356"/>
      <c r="IN156" s="356"/>
      <c r="IO156" s="356"/>
      <c r="IP156" s="356"/>
      <c r="IQ156" s="356"/>
      <c r="IR156" s="356"/>
      <c r="IS156" s="356"/>
      <c r="IT156" s="356"/>
      <c r="IU156" s="356"/>
      <c r="IV156" s="356"/>
    </row>
    <row r="157" spans="2:9" ht="12.75" customHeight="1" thickBot="1">
      <c r="B157" s="613"/>
      <c r="C157" s="225"/>
      <c r="D157" s="225"/>
      <c r="E157" s="226"/>
      <c r="F157" s="225"/>
      <c r="G157" s="227"/>
      <c r="H157" s="478"/>
      <c r="I157" s="636"/>
    </row>
    <row r="158" spans="2:9" ht="12.75" customHeight="1">
      <c r="B158" s="637" t="s">
        <v>333</v>
      </c>
      <c r="C158" s="222"/>
      <c r="D158" s="220" t="s">
        <v>326</v>
      </c>
      <c r="E158" s="221"/>
      <c r="F158" s="222"/>
      <c r="G158" s="222"/>
      <c r="H158" s="489">
        <f>H159</f>
        <v>1031.2</v>
      </c>
      <c r="I158" s="638">
        <f t="shared" si="4"/>
        <v>1297.86832</v>
      </c>
    </row>
    <row r="159" spans="2:9" s="271" customFormat="1" ht="12.75" customHeight="1">
      <c r="B159" s="639" t="s">
        <v>335</v>
      </c>
      <c r="C159" s="239"/>
      <c r="D159" s="237" t="s">
        <v>328</v>
      </c>
      <c r="E159" s="238"/>
      <c r="F159" s="239"/>
      <c r="G159" s="239"/>
      <c r="H159" s="476">
        <f>ROUND(SUM(H160:H162),2)</f>
        <v>1031.2</v>
      </c>
      <c r="I159" s="618">
        <f t="shared" si="4"/>
        <v>1297.86832</v>
      </c>
    </row>
    <row r="160" spans="2:10" s="376" customFormat="1" ht="12.75" customHeight="1">
      <c r="B160" s="640" t="s">
        <v>336</v>
      </c>
      <c r="C160" s="425" t="s">
        <v>329</v>
      </c>
      <c r="D160" s="454" t="s">
        <v>330</v>
      </c>
      <c r="E160" s="455" t="s">
        <v>26</v>
      </c>
      <c r="F160" s="425">
        <v>30.75</v>
      </c>
      <c r="G160" s="593">
        <v>31.61</v>
      </c>
      <c r="H160" s="490">
        <f>'ADITIVO - PLANILHA ORÇAMETARIA '!G160*'ADITIVO - PLANILHA ORÇAMETARIA '!F160</f>
        <v>972.0074999999999</v>
      </c>
      <c r="I160" s="641">
        <f t="shared" si="4"/>
        <v>1223.3686395</v>
      </c>
      <c r="J160" s="376">
        <v>37.7</v>
      </c>
    </row>
    <row r="161" spans="2:10" s="376" customFormat="1" ht="12.75" customHeight="1" thickBot="1">
      <c r="B161" s="640" t="s">
        <v>1706</v>
      </c>
      <c r="C161" s="511" t="s">
        <v>331</v>
      </c>
      <c r="D161" s="454" t="s">
        <v>332</v>
      </c>
      <c r="E161" s="456" t="s">
        <v>52</v>
      </c>
      <c r="F161" s="425">
        <v>0.16</v>
      </c>
      <c r="G161" s="593">
        <v>369.93</v>
      </c>
      <c r="H161" s="490">
        <f>'ADITIVO - PLANILHA ORÇAMETARIA '!G161*'ADITIVO - PLANILHA ORÇAMETARIA '!F161</f>
        <v>59.1888</v>
      </c>
      <c r="I161" s="642">
        <f t="shared" si="4"/>
        <v>74.49502368</v>
      </c>
      <c r="J161" s="376">
        <v>410.52</v>
      </c>
    </row>
    <row r="162" spans="2:9" ht="12.75" customHeight="1" thickBot="1">
      <c r="B162" s="613"/>
      <c r="C162" s="225"/>
      <c r="D162" s="225"/>
      <c r="E162" s="226"/>
      <c r="F162" s="225"/>
      <c r="G162" s="227"/>
      <c r="H162" s="478"/>
      <c r="I162" s="636"/>
    </row>
    <row r="163" spans="2:9" ht="12.75" customHeight="1">
      <c r="B163" s="637" t="s">
        <v>350</v>
      </c>
      <c r="C163" s="222"/>
      <c r="D163" s="220" t="s">
        <v>334</v>
      </c>
      <c r="E163" s="221"/>
      <c r="F163" s="222"/>
      <c r="G163" s="222"/>
      <c r="H163" s="489">
        <f>H166+H164</f>
        <v>97536.31</v>
      </c>
      <c r="I163" s="638">
        <f t="shared" si="4"/>
        <v>122759.19976599999</v>
      </c>
    </row>
    <row r="164" spans="2:9" s="271" customFormat="1" ht="12.75" customHeight="1">
      <c r="B164" s="639" t="s">
        <v>352</v>
      </c>
      <c r="C164" s="239"/>
      <c r="D164" s="237" t="s">
        <v>328</v>
      </c>
      <c r="E164" s="238"/>
      <c r="F164" s="239"/>
      <c r="G164" s="239"/>
      <c r="H164" s="476">
        <f>ROUND(SUM(H165),2)</f>
        <v>904.51</v>
      </c>
      <c r="I164" s="643">
        <f t="shared" si="4"/>
        <v>1138.416286</v>
      </c>
    </row>
    <row r="165" spans="2:10" s="376" customFormat="1" ht="12.75" customHeight="1">
      <c r="B165" s="640" t="s">
        <v>353</v>
      </c>
      <c r="C165" s="425" t="s">
        <v>337</v>
      </c>
      <c r="D165" s="454" t="s">
        <v>338</v>
      </c>
      <c r="E165" s="456" t="s">
        <v>26</v>
      </c>
      <c r="F165" s="457">
        <v>35.36</v>
      </c>
      <c r="G165" s="592">
        <v>25.58</v>
      </c>
      <c r="H165" s="490">
        <f>'ADITIVO - PLANILHA ORÇAMETARIA '!G165*'ADITIVO - PLANILHA ORÇAMETARIA '!F165</f>
        <v>904.5088</v>
      </c>
      <c r="I165" s="641">
        <f t="shared" si="4"/>
        <v>1138.4147756799998</v>
      </c>
      <c r="J165" s="376">
        <v>25.04</v>
      </c>
    </row>
    <row r="166" spans="2:9" s="271" customFormat="1" ht="12.75" customHeight="1">
      <c r="B166" s="639" t="s">
        <v>1362</v>
      </c>
      <c r="C166" s="239"/>
      <c r="D166" s="237" t="s">
        <v>340</v>
      </c>
      <c r="E166" s="238"/>
      <c r="F166" s="239"/>
      <c r="G166" s="239"/>
      <c r="H166" s="476">
        <f>ROUND(SUM(H167:H175),2)</f>
        <v>96631.8</v>
      </c>
      <c r="I166" s="618">
        <f t="shared" si="4"/>
        <v>121620.78348</v>
      </c>
    </row>
    <row r="167" spans="1:256" s="357" customFormat="1" ht="12.75" customHeight="1">
      <c r="A167" s="356"/>
      <c r="B167" s="644" t="s">
        <v>1707</v>
      </c>
      <c r="C167" s="424" t="s">
        <v>794</v>
      </c>
      <c r="D167" s="424" t="s">
        <v>341</v>
      </c>
      <c r="E167" s="458" t="s">
        <v>26</v>
      </c>
      <c r="F167" s="459">
        <v>308</v>
      </c>
      <c r="G167" s="460">
        <f>COMPOSIÇÕES!F316</f>
        <v>167.8805259824386</v>
      </c>
      <c r="H167" s="488">
        <f>'ADITIVO - PLANILHA ORÇAMETARIA '!F167*'ADITIVO - PLANILHA ORÇAMETARIA '!G167</f>
        <v>51707.20200259109</v>
      </c>
      <c r="I167" s="645">
        <f t="shared" si="4"/>
        <v>65078.68444046114</v>
      </c>
      <c r="J167" s="356">
        <v>169.9051</v>
      </c>
      <c r="K167" s="356"/>
      <c r="L167" s="356"/>
      <c r="M167" s="356"/>
      <c r="N167" s="356"/>
      <c r="O167" s="356"/>
      <c r="P167" s="356"/>
      <c r="Q167" s="356"/>
      <c r="R167" s="356"/>
      <c r="S167" s="356"/>
      <c r="T167" s="356"/>
      <c r="U167" s="356"/>
      <c r="V167" s="356"/>
      <c r="W167" s="356"/>
      <c r="X167" s="356"/>
      <c r="Y167" s="356"/>
      <c r="Z167" s="356"/>
      <c r="AA167" s="356"/>
      <c r="AB167" s="356"/>
      <c r="AC167" s="356"/>
      <c r="AD167" s="356"/>
      <c r="AE167" s="356"/>
      <c r="AF167" s="356"/>
      <c r="AG167" s="356"/>
      <c r="AH167" s="356"/>
      <c r="AI167" s="356"/>
      <c r="AJ167" s="356"/>
      <c r="AK167" s="356"/>
      <c r="AL167" s="356"/>
      <c r="AM167" s="356"/>
      <c r="AN167" s="356"/>
      <c r="AO167" s="356"/>
      <c r="AP167" s="356"/>
      <c r="AQ167" s="356"/>
      <c r="AR167" s="356"/>
      <c r="AS167" s="356"/>
      <c r="AT167" s="356"/>
      <c r="AU167" s="356"/>
      <c r="AV167" s="356"/>
      <c r="AW167" s="356"/>
      <c r="AX167" s="356"/>
      <c r="AY167" s="356"/>
      <c r="AZ167" s="356"/>
      <c r="BA167" s="356"/>
      <c r="BB167" s="356"/>
      <c r="BC167" s="356"/>
      <c r="BD167" s="356"/>
      <c r="BE167" s="356"/>
      <c r="BF167" s="356"/>
      <c r="BG167" s="356"/>
      <c r="BH167" s="356"/>
      <c r="BI167" s="356"/>
      <c r="BJ167" s="356"/>
      <c r="BK167" s="356"/>
      <c r="BL167" s="356"/>
      <c r="BM167" s="356"/>
      <c r="BN167" s="356"/>
      <c r="BO167" s="356"/>
      <c r="BP167" s="356"/>
      <c r="BQ167" s="356"/>
      <c r="BR167" s="356"/>
      <c r="BS167" s="356"/>
      <c r="BT167" s="356"/>
      <c r="BU167" s="356"/>
      <c r="BV167" s="356"/>
      <c r="BW167" s="356"/>
      <c r="BX167" s="356"/>
      <c r="BY167" s="356"/>
      <c r="BZ167" s="356"/>
      <c r="CA167" s="356"/>
      <c r="CB167" s="356"/>
      <c r="CC167" s="356"/>
      <c r="CD167" s="356"/>
      <c r="CE167" s="356"/>
      <c r="CF167" s="356"/>
      <c r="CG167" s="356"/>
      <c r="CH167" s="356"/>
      <c r="CI167" s="356"/>
      <c r="CJ167" s="356"/>
      <c r="CK167" s="356"/>
      <c r="CL167" s="356"/>
      <c r="CM167" s="356"/>
      <c r="CN167" s="356"/>
      <c r="CO167" s="356"/>
      <c r="CP167" s="356"/>
      <c r="CQ167" s="356"/>
      <c r="CR167" s="356"/>
      <c r="CS167" s="356"/>
      <c r="CT167" s="356"/>
      <c r="CU167" s="356"/>
      <c r="CV167" s="356"/>
      <c r="CW167" s="356"/>
      <c r="CX167" s="356"/>
      <c r="CY167" s="356"/>
      <c r="CZ167" s="356"/>
      <c r="DA167" s="356"/>
      <c r="DB167" s="356"/>
      <c r="DC167" s="356"/>
      <c r="DD167" s="356"/>
      <c r="DE167" s="356"/>
      <c r="DF167" s="356"/>
      <c r="DG167" s="356"/>
      <c r="DH167" s="356"/>
      <c r="DI167" s="356"/>
      <c r="DJ167" s="356"/>
      <c r="DK167" s="356"/>
      <c r="DL167" s="356"/>
      <c r="DM167" s="356"/>
      <c r="DN167" s="356"/>
      <c r="DO167" s="356"/>
      <c r="DP167" s="356"/>
      <c r="DQ167" s="356"/>
      <c r="DR167" s="356"/>
      <c r="DS167" s="356"/>
      <c r="DT167" s="356"/>
      <c r="DU167" s="356"/>
      <c r="DV167" s="356"/>
      <c r="DW167" s="356"/>
      <c r="DX167" s="356"/>
      <c r="DY167" s="356"/>
      <c r="DZ167" s="356"/>
      <c r="EA167" s="356"/>
      <c r="EB167" s="356"/>
      <c r="EC167" s="356"/>
      <c r="ED167" s="356"/>
      <c r="EE167" s="356"/>
      <c r="EF167" s="356"/>
      <c r="EG167" s="356"/>
      <c r="EH167" s="356"/>
      <c r="EI167" s="356"/>
      <c r="EJ167" s="356"/>
      <c r="EK167" s="356"/>
      <c r="EL167" s="356"/>
      <c r="EM167" s="356"/>
      <c r="EN167" s="356"/>
      <c r="EO167" s="356"/>
      <c r="EP167" s="356"/>
      <c r="EQ167" s="356"/>
      <c r="ER167" s="356"/>
      <c r="ES167" s="356"/>
      <c r="ET167" s="356"/>
      <c r="EU167" s="356"/>
      <c r="EV167" s="356"/>
      <c r="EW167" s="356"/>
      <c r="EX167" s="356"/>
      <c r="EY167" s="356"/>
      <c r="EZ167" s="356"/>
      <c r="FA167" s="356"/>
      <c r="FB167" s="356"/>
      <c r="FC167" s="356"/>
      <c r="FD167" s="356"/>
      <c r="FE167" s="356"/>
      <c r="FF167" s="356"/>
      <c r="FG167" s="356"/>
      <c r="FH167" s="356"/>
      <c r="FI167" s="356"/>
      <c r="FJ167" s="356"/>
      <c r="FK167" s="356"/>
      <c r="FL167" s="356"/>
      <c r="FM167" s="356"/>
      <c r="FN167" s="356"/>
      <c r="FO167" s="356"/>
      <c r="FP167" s="356"/>
      <c r="FQ167" s="356"/>
      <c r="FR167" s="356"/>
      <c r="FS167" s="356"/>
      <c r="FT167" s="356"/>
      <c r="FU167" s="356"/>
      <c r="FV167" s="356"/>
      <c r="FW167" s="356"/>
      <c r="FX167" s="356"/>
      <c r="FY167" s="356"/>
      <c r="FZ167" s="356"/>
      <c r="GA167" s="356"/>
      <c r="GB167" s="356"/>
      <c r="GC167" s="356"/>
      <c r="GD167" s="356"/>
      <c r="GE167" s="356"/>
      <c r="GF167" s="356"/>
      <c r="GG167" s="356"/>
      <c r="GH167" s="356"/>
      <c r="GI167" s="356"/>
      <c r="GJ167" s="356"/>
      <c r="GK167" s="356"/>
      <c r="GL167" s="356"/>
      <c r="GM167" s="356"/>
      <c r="GN167" s="356"/>
      <c r="GO167" s="356"/>
      <c r="GP167" s="356"/>
      <c r="GQ167" s="356"/>
      <c r="GR167" s="356"/>
      <c r="GS167" s="356"/>
      <c r="GT167" s="356"/>
      <c r="GU167" s="356"/>
      <c r="GV167" s="356"/>
      <c r="GW167" s="356"/>
      <c r="GX167" s="356"/>
      <c r="GY167" s="356"/>
      <c r="GZ167" s="356"/>
      <c r="HA167" s="356"/>
      <c r="HB167" s="356"/>
      <c r="HC167" s="356"/>
      <c r="HD167" s="356"/>
      <c r="HE167" s="356"/>
      <c r="HF167" s="356"/>
      <c r="HG167" s="356"/>
      <c r="HH167" s="356"/>
      <c r="HI167" s="356"/>
      <c r="HJ167" s="356"/>
      <c r="HK167" s="356"/>
      <c r="HL167" s="356"/>
      <c r="HM167" s="356"/>
      <c r="HN167" s="356"/>
      <c r="HO167" s="356"/>
      <c r="HP167" s="356"/>
      <c r="HQ167" s="356"/>
      <c r="HR167" s="356"/>
      <c r="HS167" s="356"/>
      <c r="HT167" s="356"/>
      <c r="HU167" s="356"/>
      <c r="HV167" s="356"/>
      <c r="HW167" s="356"/>
      <c r="HX167" s="356"/>
      <c r="HY167" s="356"/>
      <c r="HZ167" s="356"/>
      <c r="IA167" s="356"/>
      <c r="IB167" s="356"/>
      <c r="IC167" s="356"/>
      <c r="ID167" s="356"/>
      <c r="IE167" s="356"/>
      <c r="IF167" s="356"/>
      <c r="IG167" s="356"/>
      <c r="IH167" s="356"/>
      <c r="II167" s="356"/>
      <c r="IJ167" s="356"/>
      <c r="IK167" s="356"/>
      <c r="IL167" s="356"/>
      <c r="IM167" s="356"/>
      <c r="IN167" s="356"/>
      <c r="IO167" s="356"/>
      <c r="IP167" s="356"/>
      <c r="IQ167" s="356"/>
      <c r="IR167" s="356"/>
      <c r="IS167" s="356"/>
      <c r="IT167" s="356"/>
      <c r="IU167" s="356"/>
      <c r="IV167" s="356"/>
    </row>
    <row r="168" spans="1:256" s="357" customFormat="1" ht="12" customHeight="1">
      <c r="A168" s="356"/>
      <c r="B168" s="644" t="s">
        <v>1708</v>
      </c>
      <c r="C168" s="424" t="s">
        <v>694</v>
      </c>
      <c r="D168" s="424" t="s">
        <v>342</v>
      </c>
      <c r="E168" s="458" t="s">
        <v>1636</v>
      </c>
      <c r="F168" s="459">
        <v>86</v>
      </c>
      <c r="G168" s="460">
        <f>COMPOSIÇÕES!F325</f>
        <v>142.30924688481903</v>
      </c>
      <c r="H168" s="488">
        <f>'ADITIVO - PLANILHA ORÇAMETARIA '!F168*'ADITIVO - PLANILHA ORÇAMETARIA '!G168</f>
        <v>12238.595232094436</v>
      </c>
      <c r="I168" s="645">
        <f t="shared" si="4"/>
        <v>15403.495959114056</v>
      </c>
      <c r="J168" s="356">
        <v>142.71335</v>
      </c>
      <c r="K168" s="356"/>
      <c r="L168" s="356"/>
      <c r="M168" s="356"/>
      <c r="N168" s="356"/>
      <c r="O168" s="356"/>
      <c r="P168" s="356"/>
      <c r="Q168" s="356"/>
      <c r="R168" s="356"/>
      <c r="S168" s="356"/>
      <c r="T168" s="356"/>
      <c r="U168" s="356"/>
      <c r="V168" s="356"/>
      <c r="W168" s="356"/>
      <c r="X168" s="356"/>
      <c r="Y168" s="356"/>
      <c r="Z168" s="356"/>
      <c r="AA168" s="356"/>
      <c r="AB168" s="356"/>
      <c r="AC168" s="356"/>
      <c r="AD168" s="356"/>
      <c r="AE168" s="356"/>
      <c r="AF168" s="356"/>
      <c r="AG168" s="356"/>
      <c r="AH168" s="356"/>
      <c r="AI168" s="356"/>
      <c r="AJ168" s="356"/>
      <c r="AK168" s="356"/>
      <c r="AL168" s="356"/>
      <c r="AM168" s="356"/>
      <c r="AN168" s="356"/>
      <c r="AO168" s="356"/>
      <c r="AP168" s="356"/>
      <c r="AQ168" s="356"/>
      <c r="AR168" s="356"/>
      <c r="AS168" s="356"/>
      <c r="AT168" s="356"/>
      <c r="AU168" s="356"/>
      <c r="AV168" s="356"/>
      <c r="AW168" s="356"/>
      <c r="AX168" s="356"/>
      <c r="AY168" s="356"/>
      <c r="AZ168" s="356"/>
      <c r="BA168" s="356"/>
      <c r="BB168" s="356"/>
      <c r="BC168" s="356"/>
      <c r="BD168" s="356"/>
      <c r="BE168" s="356"/>
      <c r="BF168" s="356"/>
      <c r="BG168" s="356"/>
      <c r="BH168" s="356"/>
      <c r="BI168" s="356"/>
      <c r="BJ168" s="356"/>
      <c r="BK168" s="356"/>
      <c r="BL168" s="356"/>
      <c r="BM168" s="356"/>
      <c r="BN168" s="356"/>
      <c r="BO168" s="356"/>
      <c r="BP168" s="356"/>
      <c r="BQ168" s="356"/>
      <c r="BR168" s="356"/>
      <c r="BS168" s="356"/>
      <c r="BT168" s="356"/>
      <c r="BU168" s="356"/>
      <c r="BV168" s="356"/>
      <c r="BW168" s="356"/>
      <c r="BX168" s="356"/>
      <c r="BY168" s="356"/>
      <c r="BZ168" s="356"/>
      <c r="CA168" s="356"/>
      <c r="CB168" s="356"/>
      <c r="CC168" s="356"/>
      <c r="CD168" s="356"/>
      <c r="CE168" s="356"/>
      <c r="CF168" s="356"/>
      <c r="CG168" s="356"/>
      <c r="CH168" s="356"/>
      <c r="CI168" s="356"/>
      <c r="CJ168" s="356"/>
      <c r="CK168" s="356"/>
      <c r="CL168" s="356"/>
      <c r="CM168" s="356"/>
      <c r="CN168" s="356"/>
      <c r="CO168" s="356"/>
      <c r="CP168" s="356"/>
      <c r="CQ168" s="356"/>
      <c r="CR168" s="356"/>
      <c r="CS168" s="356"/>
      <c r="CT168" s="356"/>
      <c r="CU168" s="356"/>
      <c r="CV168" s="356"/>
      <c r="CW168" s="356"/>
      <c r="CX168" s="356"/>
      <c r="CY168" s="356"/>
      <c r="CZ168" s="356"/>
      <c r="DA168" s="356"/>
      <c r="DB168" s="356"/>
      <c r="DC168" s="356"/>
      <c r="DD168" s="356"/>
      <c r="DE168" s="356"/>
      <c r="DF168" s="356"/>
      <c r="DG168" s="356"/>
      <c r="DH168" s="356"/>
      <c r="DI168" s="356"/>
      <c r="DJ168" s="356"/>
      <c r="DK168" s="356"/>
      <c r="DL168" s="356"/>
      <c r="DM168" s="356"/>
      <c r="DN168" s="356"/>
      <c r="DO168" s="356"/>
      <c r="DP168" s="356"/>
      <c r="DQ168" s="356"/>
      <c r="DR168" s="356"/>
      <c r="DS168" s="356"/>
      <c r="DT168" s="356"/>
      <c r="DU168" s="356"/>
      <c r="DV168" s="356"/>
      <c r="DW168" s="356"/>
      <c r="DX168" s="356"/>
      <c r="DY168" s="356"/>
      <c r="DZ168" s="356"/>
      <c r="EA168" s="356"/>
      <c r="EB168" s="356"/>
      <c r="EC168" s="356"/>
      <c r="ED168" s="356"/>
      <c r="EE168" s="356"/>
      <c r="EF168" s="356"/>
      <c r="EG168" s="356"/>
      <c r="EH168" s="356"/>
      <c r="EI168" s="356"/>
      <c r="EJ168" s="356"/>
      <c r="EK168" s="356"/>
      <c r="EL168" s="356"/>
      <c r="EM168" s="356"/>
      <c r="EN168" s="356"/>
      <c r="EO168" s="356"/>
      <c r="EP168" s="356"/>
      <c r="EQ168" s="356"/>
      <c r="ER168" s="356"/>
      <c r="ES168" s="356"/>
      <c r="ET168" s="356"/>
      <c r="EU168" s="356"/>
      <c r="EV168" s="356"/>
      <c r="EW168" s="356"/>
      <c r="EX168" s="356"/>
      <c r="EY168" s="356"/>
      <c r="EZ168" s="356"/>
      <c r="FA168" s="356"/>
      <c r="FB168" s="356"/>
      <c r="FC168" s="356"/>
      <c r="FD168" s="356"/>
      <c r="FE168" s="356"/>
      <c r="FF168" s="356"/>
      <c r="FG168" s="356"/>
      <c r="FH168" s="356"/>
      <c r="FI168" s="356"/>
      <c r="FJ168" s="356"/>
      <c r="FK168" s="356"/>
      <c r="FL168" s="356"/>
      <c r="FM168" s="356"/>
      <c r="FN168" s="356"/>
      <c r="FO168" s="356"/>
      <c r="FP168" s="356"/>
      <c r="FQ168" s="356"/>
      <c r="FR168" s="356"/>
      <c r="FS168" s="356"/>
      <c r="FT168" s="356"/>
      <c r="FU168" s="356"/>
      <c r="FV168" s="356"/>
      <c r="FW168" s="356"/>
      <c r="FX168" s="356"/>
      <c r="FY168" s="356"/>
      <c r="FZ168" s="356"/>
      <c r="GA168" s="356"/>
      <c r="GB168" s="356"/>
      <c r="GC168" s="356"/>
      <c r="GD168" s="356"/>
      <c r="GE168" s="356"/>
      <c r="GF168" s="356"/>
      <c r="GG168" s="356"/>
      <c r="GH168" s="356"/>
      <c r="GI168" s="356"/>
      <c r="GJ168" s="356"/>
      <c r="GK168" s="356"/>
      <c r="GL168" s="356"/>
      <c r="GM168" s="356"/>
      <c r="GN168" s="356"/>
      <c r="GO168" s="356"/>
      <c r="GP168" s="356"/>
      <c r="GQ168" s="356"/>
      <c r="GR168" s="356"/>
      <c r="GS168" s="356"/>
      <c r="GT168" s="356"/>
      <c r="GU168" s="356"/>
      <c r="GV168" s="356"/>
      <c r="GW168" s="356"/>
      <c r="GX168" s="356"/>
      <c r="GY168" s="356"/>
      <c r="GZ168" s="356"/>
      <c r="HA168" s="356"/>
      <c r="HB168" s="356"/>
      <c r="HC168" s="356"/>
      <c r="HD168" s="356"/>
      <c r="HE168" s="356"/>
      <c r="HF168" s="356"/>
      <c r="HG168" s="356"/>
      <c r="HH168" s="356"/>
      <c r="HI168" s="356"/>
      <c r="HJ168" s="356"/>
      <c r="HK168" s="356"/>
      <c r="HL168" s="356"/>
      <c r="HM168" s="356"/>
      <c r="HN168" s="356"/>
      <c r="HO168" s="356"/>
      <c r="HP168" s="356"/>
      <c r="HQ168" s="356"/>
      <c r="HR168" s="356"/>
      <c r="HS168" s="356"/>
      <c r="HT168" s="356"/>
      <c r="HU168" s="356"/>
      <c r="HV168" s="356"/>
      <c r="HW168" s="356"/>
      <c r="HX168" s="356"/>
      <c r="HY168" s="356"/>
      <c r="HZ168" s="356"/>
      <c r="IA168" s="356"/>
      <c r="IB168" s="356"/>
      <c r="IC168" s="356"/>
      <c r="ID168" s="356"/>
      <c r="IE168" s="356"/>
      <c r="IF168" s="356"/>
      <c r="IG168" s="356"/>
      <c r="IH168" s="356"/>
      <c r="II168" s="356"/>
      <c r="IJ168" s="356"/>
      <c r="IK168" s="356"/>
      <c r="IL168" s="356"/>
      <c r="IM168" s="356"/>
      <c r="IN168" s="356"/>
      <c r="IO168" s="356"/>
      <c r="IP168" s="356"/>
      <c r="IQ168" s="356"/>
      <c r="IR168" s="356"/>
      <c r="IS168" s="356"/>
      <c r="IT168" s="356"/>
      <c r="IU168" s="356"/>
      <c r="IV168" s="356"/>
    </row>
    <row r="169" spans="1:256" s="357" customFormat="1" ht="12" customHeight="1">
      <c r="A169" s="356"/>
      <c r="B169" s="644" t="s">
        <v>1709</v>
      </c>
      <c r="C169" s="424" t="s">
        <v>800</v>
      </c>
      <c r="D169" s="424" t="s">
        <v>1633</v>
      </c>
      <c r="E169" s="458" t="s">
        <v>18</v>
      </c>
      <c r="F169" s="459">
        <v>4</v>
      </c>
      <c r="G169" s="460">
        <f>COMPOSIÇÕES!F334</f>
        <v>223.40977057837028</v>
      </c>
      <c r="H169" s="488">
        <f>'ADITIVO - PLANILHA ORÇAMETARIA '!F169*'ADITIVO - PLANILHA ORÇAMETARIA '!G169</f>
        <v>893.6390823134811</v>
      </c>
      <c r="I169" s="645">
        <f t="shared" si="4"/>
        <v>1124.7341489997473</v>
      </c>
      <c r="J169" s="356">
        <v>222.02615</v>
      </c>
      <c r="K169" s="356"/>
      <c r="L169" s="356"/>
      <c r="M169" s="356"/>
      <c r="N169" s="356"/>
      <c r="O169" s="356"/>
      <c r="P169" s="356"/>
      <c r="Q169" s="356"/>
      <c r="R169" s="356"/>
      <c r="S169" s="356"/>
      <c r="T169" s="356"/>
      <c r="U169" s="356"/>
      <c r="V169" s="356"/>
      <c r="W169" s="356"/>
      <c r="X169" s="356"/>
      <c r="Y169" s="356"/>
      <c r="Z169" s="356"/>
      <c r="AA169" s="356"/>
      <c r="AB169" s="356"/>
      <c r="AC169" s="356"/>
      <c r="AD169" s="356"/>
      <c r="AE169" s="356"/>
      <c r="AF169" s="356"/>
      <c r="AG169" s="356"/>
      <c r="AH169" s="356"/>
      <c r="AI169" s="356"/>
      <c r="AJ169" s="356"/>
      <c r="AK169" s="356"/>
      <c r="AL169" s="356"/>
      <c r="AM169" s="356"/>
      <c r="AN169" s="356"/>
      <c r="AO169" s="356"/>
      <c r="AP169" s="356"/>
      <c r="AQ169" s="356"/>
      <c r="AR169" s="356"/>
      <c r="AS169" s="356"/>
      <c r="AT169" s="356"/>
      <c r="AU169" s="356"/>
      <c r="AV169" s="356"/>
      <c r="AW169" s="356"/>
      <c r="AX169" s="356"/>
      <c r="AY169" s="356"/>
      <c r="AZ169" s="356"/>
      <c r="BA169" s="356"/>
      <c r="BB169" s="356"/>
      <c r="BC169" s="356"/>
      <c r="BD169" s="356"/>
      <c r="BE169" s="356"/>
      <c r="BF169" s="356"/>
      <c r="BG169" s="356"/>
      <c r="BH169" s="356"/>
      <c r="BI169" s="356"/>
      <c r="BJ169" s="356"/>
      <c r="BK169" s="356"/>
      <c r="BL169" s="356"/>
      <c r="BM169" s="356"/>
      <c r="BN169" s="356"/>
      <c r="BO169" s="356"/>
      <c r="BP169" s="356"/>
      <c r="BQ169" s="356"/>
      <c r="BR169" s="356"/>
      <c r="BS169" s="356"/>
      <c r="BT169" s="356"/>
      <c r="BU169" s="356"/>
      <c r="BV169" s="356"/>
      <c r="BW169" s="356"/>
      <c r="BX169" s="356"/>
      <c r="BY169" s="356"/>
      <c r="BZ169" s="356"/>
      <c r="CA169" s="356"/>
      <c r="CB169" s="356"/>
      <c r="CC169" s="356"/>
      <c r="CD169" s="356"/>
      <c r="CE169" s="356"/>
      <c r="CF169" s="356"/>
      <c r="CG169" s="356"/>
      <c r="CH169" s="356"/>
      <c r="CI169" s="356"/>
      <c r="CJ169" s="356"/>
      <c r="CK169" s="356"/>
      <c r="CL169" s="356"/>
      <c r="CM169" s="356"/>
      <c r="CN169" s="356"/>
      <c r="CO169" s="356"/>
      <c r="CP169" s="356"/>
      <c r="CQ169" s="356"/>
      <c r="CR169" s="356"/>
      <c r="CS169" s="356"/>
      <c r="CT169" s="356"/>
      <c r="CU169" s="356"/>
      <c r="CV169" s="356"/>
      <c r="CW169" s="356"/>
      <c r="CX169" s="356"/>
      <c r="CY169" s="356"/>
      <c r="CZ169" s="356"/>
      <c r="DA169" s="356"/>
      <c r="DB169" s="356"/>
      <c r="DC169" s="356"/>
      <c r="DD169" s="356"/>
      <c r="DE169" s="356"/>
      <c r="DF169" s="356"/>
      <c r="DG169" s="356"/>
      <c r="DH169" s="356"/>
      <c r="DI169" s="356"/>
      <c r="DJ169" s="356"/>
      <c r="DK169" s="356"/>
      <c r="DL169" s="356"/>
      <c r="DM169" s="356"/>
      <c r="DN169" s="356"/>
      <c r="DO169" s="356"/>
      <c r="DP169" s="356"/>
      <c r="DQ169" s="356"/>
      <c r="DR169" s="356"/>
      <c r="DS169" s="356"/>
      <c r="DT169" s="356"/>
      <c r="DU169" s="356"/>
      <c r="DV169" s="356"/>
      <c r="DW169" s="356"/>
      <c r="DX169" s="356"/>
      <c r="DY169" s="356"/>
      <c r="DZ169" s="356"/>
      <c r="EA169" s="356"/>
      <c r="EB169" s="356"/>
      <c r="EC169" s="356"/>
      <c r="ED169" s="356"/>
      <c r="EE169" s="356"/>
      <c r="EF169" s="356"/>
      <c r="EG169" s="356"/>
      <c r="EH169" s="356"/>
      <c r="EI169" s="356"/>
      <c r="EJ169" s="356"/>
      <c r="EK169" s="356"/>
      <c r="EL169" s="356"/>
      <c r="EM169" s="356"/>
      <c r="EN169" s="356"/>
      <c r="EO169" s="356"/>
      <c r="EP169" s="356"/>
      <c r="EQ169" s="356"/>
      <c r="ER169" s="356"/>
      <c r="ES169" s="356"/>
      <c r="ET169" s="356"/>
      <c r="EU169" s="356"/>
      <c r="EV169" s="356"/>
      <c r="EW169" s="356"/>
      <c r="EX169" s="356"/>
      <c r="EY169" s="356"/>
      <c r="EZ169" s="356"/>
      <c r="FA169" s="356"/>
      <c r="FB169" s="356"/>
      <c r="FC169" s="356"/>
      <c r="FD169" s="356"/>
      <c r="FE169" s="356"/>
      <c r="FF169" s="356"/>
      <c r="FG169" s="356"/>
      <c r="FH169" s="356"/>
      <c r="FI169" s="356"/>
      <c r="FJ169" s="356"/>
      <c r="FK169" s="356"/>
      <c r="FL169" s="356"/>
      <c r="FM169" s="356"/>
      <c r="FN169" s="356"/>
      <c r="FO169" s="356"/>
      <c r="FP169" s="356"/>
      <c r="FQ169" s="356"/>
      <c r="FR169" s="356"/>
      <c r="FS169" s="356"/>
      <c r="FT169" s="356"/>
      <c r="FU169" s="356"/>
      <c r="FV169" s="356"/>
      <c r="FW169" s="356"/>
      <c r="FX169" s="356"/>
      <c r="FY169" s="356"/>
      <c r="FZ169" s="356"/>
      <c r="GA169" s="356"/>
      <c r="GB169" s="356"/>
      <c r="GC169" s="356"/>
      <c r="GD169" s="356"/>
      <c r="GE169" s="356"/>
      <c r="GF169" s="356"/>
      <c r="GG169" s="356"/>
      <c r="GH169" s="356"/>
      <c r="GI169" s="356"/>
      <c r="GJ169" s="356"/>
      <c r="GK169" s="356"/>
      <c r="GL169" s="356"/>
      <c r="GM169" s="356"/>
      <c r="GN169" s="356"/>
      <c r="GO169" s="356"/>
      <c r="GP169" s="356"/>
      <c r="GQ169" s="356"/>
      <c r="GR169" s="356"/>
      <c r="GS169" s="356"/>
      <c r="GT169" s="356"/>
      <c r="GU169" s="356"/>
      <c r="GV169" s="356"/>
      <c r="GW169" s="356"/>
      <c r="GX169" s="356"/>
      <c r="GY169" s="356"/>
      <c r="GZ169" s="356"/>
      <c r="HA169" s="356"/>
      <c r="HB169" s="356"/>
      <c r="HC169" s="356"/>
      <c r="HD169" s="356"/>
      <c r="HE169" s="356"/>
      <c r="HF169" s="356"/>
      <c r="HG169" s="356"/>
      <c r="HH169" s="356"/>
      <c r="HI169" s="356"/>
      <c r="HJ169" s="356"/>
      <c r="HK169" s="356"/>
      <c r="HL169" s="356"/>
      <c r="HM169" s="356"/>
      <c r="HN169" s="356"/>
      <c r="HO169" s="356"/>
      <c r="HP169" s="356"/>
      <c r="HQ169" s="356"/>
      <c r="HR169" s="356"/>
      <c r="HS169" s="356"/>
      <c r="HT169" s="356"/>
      <c r="HU169" s="356"/>
      <c r="HV169" s="356"/>
      <c r="HW169" s="356"/>
      <c r="HX169" s="356"/>
      <c r="HY169" s="356"/>
      <c r="HZ169" s="356"/>
      <c r="IA169" s="356"/>
      <c r="IB169" s="356"/>
      <c r="IC169" s="356"/>
      <c r="ID169" s="356"/>
      <c r="IE169" s="356"/>
      <c r="IF169" s="356"/>
      <c r="IG169" s="356"/>
      <c r="IH169" s="356"/>
      <c r="II169" s="356"/>
      <c r="IJ169" s="356"/>
      <c r="IK169" s="356"/>
      <c r="IL169" s="356"/>
      <c r="IM169" s="356"/>
      <c r="IN169" s="356"/>
      <c r="IO169" s="356"/>
      <c r="IP169" s="356"/>
      <c r="IQ169" s="356"/>
      <c r="IR169" s="356"/>
      <c r="IS169" s="356"/>
      <c r="IT169" s="356"/>
      <c r="IU169" s="356"/>
      <c r="IV169" s="356"/>
    </row>
    <row r="170" spans="1:256" s="357" customFormat="1" ht="12" customHeight="1">
      <c r="A170" s="356"/>
      <c r="B170" s="644" t="s">
        <v>1710</v>
      </c>
      <c r="C170" s="424" t="s">
        <v>749</v>
      </c>
      <c r="D170" s="424" t="s">
        <v>1646</v>
      </c>
      <c r="E170" s="458" t="s">
        <v>1647</v>
      </c>
      <c r="F170" s="459">
        <v>60</v>
      </c>
      <c r="G170" s="460">
        <f>COMPOSIÇÕES!F351</f>
        <v>84.28212760841069</v>
      </c>
      <c r="H170" s="488">
        <f>F170*G170</f>
        <v>5056.927656504641</v>
      </c>
      <c r="I170" s="645">
        <f t="shared" si="4"/>
        <v>6364.649148476741</v>
      </c>
      <c r="J170" s="356">
        <v>83.305</v>
      </c>
      <c r="K170" s="356"/>
      <c r="L170" s="356"/>
      <c r="M170" s="356"/>
      <c r="N170" s="356"/>
      <c r="O170" s="356"/>
      <c r="P170" s="356"/>
      <c r="Q170" s="356"/>
      <c r="R170" s="356"/>
      <c r="S170" s="356"/>
      <c r="T170" s="356"/>
      <c r="U170" s="356"/>
      <c r="V170" s="356"/>
      <c r="W170" s="356"/>
      <c r="X170" s="356"/>
      <c r="Y170" s="356"/>
      <c r="Z170" s="356"/>
      <c r="AA170" s="356"/>
      <c r="AB170" s="356"/>
      <c r="AC170" s="356"/>
      <c r="AD170" s="356"/>
      <c r="AE170" s="356"/>
      <c r="AF170" s="356"/>
      <c r="AG170" s="356"/>
      <c r="AH170" s="356"/>
      <c r="AI170" s="356"/>
      <c r="AJ170" s="356"/>
      <c r="AK170" s="356"/>
      <c r="AL170" s="356"/>
      <c r="AM170" s="356"/>
      <c r="AN170" s="356"/>
      <c r="AO170" s="356"/>
      <c r="AP170" s="356"/>
      <c r="AQ170" s="356"/>
      <c r="AR170" s="356"/>
      <c r="AS170" s="356"/>
      <c r="AT170" s="356"/>
      <c r="AU170" s="356"/>
      <c r="AV170" s="356"/>
      <c r="AW170" s="356"/>
      <c r="AX170" s="356"/>
      <c r="AY170" s="356"/>
      <c r="AZ170" s="356"/>
      <c r="BA170" s="356"/>
      <c r="BB170" s="356"/>
      <c r="BC170" s="356"/>
      <c r="BD170" s="356"/>
      <c r="BE170" s="356"/>
      <c r="BF170" s="356"/>
      <c r="BG170" s="356"/>
      <c r="BH170" s="356"/>
      <c r="BI170" s="356"/>
      <c r="BJ170" s="356"/>
      <c r="BK170" s="356"/>
      <c r="BL170" s="356"/>
      <c r="BM170" s="356"/>
      <c r="BN170" s="356"/>
      <c r="BO170" s="356"/>
      <c r="BP170" s="356"/>
      <c r="BQ170" s="356"/>
      <c r="BR170" s="356"/>
      <c r="BS170" s="356"/>
      <c r="BT170" s="356"/>
      <c r="BU170" s="356"/>
      <c r="BV170" s="356"/>
      <c r="BW170" s="356"/>
      <c r="BX170" s="356"/>
      <c r="BY170" s="356"/>
      <c r="BZ170" s="356"/>
      <c r="CA170" s="356"/>
      <c r="CB170" s="356"/>
      <c r="CC170" s="356"/>
      <c r="CD170" s="356"/>
      <c r="CE170" s="356"/>
      <c r="CF170" s="356"/>
      <c r="CG170" s="356"/>
      <c r="CH170" s="356"/>
      <c r="CI170" s="356"/>
      <c r="CJ170" s="356"/>
      <c r="CK170" s="356"/>
      <c r="CL170" s="356"/>
      <c r="CM170" s="356"/>
      <c r="CN170" s="356"/>
      <c r="CO170" s="356"/>
      <c r="CP170" s="356"/>
      <c r="CQ170" s="356"/>
      <c r="CR170" s="356"/>
      <c r="CS170" s="356"/>
      <c r="CT170" s="356"/>
      <c r="CU170" s="356"/>
      <c r="CV170" s="356"/>
      <c r="CW170" s="356"/>
      <c r="CX170" s="356"/>
      <c r="CY170" s="356"/>
      <c r="CZ170" s="356"/>
      <c r="DA170" s="356"/>
      <c r="DB170" s="356"/>
      <c r="DC170" s="356"/>
      <c r="DD170" s="356"/>
      <c r="DE170" s="356"/>
      <c r="DF170" s="356"/>
      <c r="DG170" s="356"/>
      <c r="DH170" s="356"/>
      <c r="DI170" s="356"/>
      <c r="DJ170" s="356"/>
      <c r="DK170" s="356"/>
      <c r="DL170" s="356"/>
      <c r="DM170" s="356"/>
      <c r="DN170" s="356"/>
      <c r="DO170" s="356"/>
      <c r="DP170" s="356"/>
      <c r="DQ170" s="356"/>
      <c r="DR170" s="356"/>
      <c r="DS170" s="356"/>
      <c r="DT170" s="356"/>
      <c r="DU170" s="356"/>
      <c r="DV170" s="356"/>
      <c r="DW170" s="356"/>
      <c r="DX170" s="356"/>
      <c r="DY170" s="356"/>
      <c r="DZ170" s="356"/>
      <c r="EA170" s="356"/>
      <c r="EB170" s="356"/>
      <c r="EC170" s="356"/>
      <c r="ED170" s="356"/>
      <c r="EE170" s="356"/>
      <c r="EF170" s="356"/>
      <c r="EG170" s="356"/>
      <c r="EH170" s="356"/>
      <c r="EI170" s="356"/>
      <c r="EJ170" s="356"/>
      <c r="EK170" s="356"/>
      <c r="EL170" s="356"/>
      <c r="EM170" s="356"/>
      <c r="EN170" s="356"/>
      <c r="EO170" s="356"/>
      <c r="EP170" s="356"/>
      <c r="EQ170" s="356"/>
      <c r="ER170" s="356"/>
      <c r="ES170" s="356"/>
      <c r="ET170" s="356"/>
      <c r="EU170" s="356"/>
      <c r="EV170" s="356"/>
      <c r="EW170" s="356"/>
      <c r="EX170" s="356"/>
      <c r="EY170" s="356"/>
      <c r="EZ170" s="356"/>
      <c r="FA170" s="356"/>
      <c r="FB170" s="356"/>
      <c r="FC170" s="356"/>
      <c r="FD170" s="356"/>
      <c r="FE170" s="356"/>
      <c r="FF170" s="356"/>
      <c r="FG170" s="356"/>
      <c r="FH170" s="356"/>
      <c r="FI170" s="356"/>
      <c r="FJ170" s="356"/>
      <c r="FK170" s="356"/>
      <c r="FL170" s="356"/>
      <c r="FM170" s="356"/>
      <c r="FN170" s="356"/>
      <c r="FO170" s="356"/>
      <c r="FP170" s="356"/>
      <c r="FQ170" s="356"/>
      <c r="FR170" s="356"/>
      <c r="FS170" s="356"/>
      <c r="FT170" s="356"/>
      <c r="FU170" s="356"/>
      <c r="FV170" s="356"/>
      <c r="FW170" s="356"/>
      <c r="FX170" s="356"/>
      <c r="FY170" s="356"/>
      <c r="FZ170" s="356"/>
      <c r="GA170" s="356"/>
      <c r="GB170" s="356"/>
      <c r="GC170" s="356"/>
      <c r="GD170" s="356"/>
      <c r="GE170" s="356"/>
      <c r="GF170" s="356"/>
      <c r="GG170" s="356"/>
      <c r="GH170" s="356"/>
      <c r="GI170" s="356"/>
      <c r="GJ170" s="356"/>
      <c r="GK170" s="356"/>
      <c r="GL170" s="356"/>
      <c r="GM170" s="356"/>
      <c r="GN170" s="356"/>
      <c r="GO170" s="356"/>
      <c r="GP170" s="356"/>
      <c r="GQ170" s="356"/>
      <c r="GR170" s="356"/>
      <c r="GS170" s="356"/>
      <c r="GT170" s="356"/>
      <c r="GU170" s="356"/>
      <c r="GV170" s="356"/>
      <c r="GW170" s="356"/>
      <c r="GX170" s="356"/>
      <c r="GY170" s="356"/>
      <c r="GZ170" s="356"/>
      <c r="HA170" s="356"/>
      <c r="HB170" s="356"/>
      <c r="HC170" s="356"/>
      <c r="HD170" s="356"/>
      <c r="HE170" s="356"/>
      <c r="HF170" s="356"/>
      <c r="HG170" s="356"/>
      <c r="HH170" s="356"/>
      <c r="HI170" s="356"/>
      <c r="HJ170" s="356"/>
      <c r="HK170" s="356"/>
      <c r="HL170" s="356"/>
      <c r="HM170" s="356"/>
      <c r="HN170" s="356"/>
      <c r="HO170" s="356"/>
      <c r="HP170" s="356"/>
      <c r="HQ170" s="356"/>
      <c r="HR170" s="356"/>
      <c r="HS170" s="356"/>
      <c r="HT170" s="356"/>
      <c r="HU170" s="356"/>
      <c r="HV170" s="356"/>
      <c r="HW170" s="356"/>
      <c r="HX170" s="356"/>
      <c r="HY170" s="356"/>
      <c r="HZ170" s="356"/>
      <c r="IA170" s="356"/>
      <c r="IB170" s="356"/>
      <c r="IC170" s="356"/>
      <c r="ID170" s="356"/>
      <c r="IE170" s="356"/>
      <c r="IF170" s="356"/>
      <c r="IG170" s="356"/>
      <c r="IH170" s="356"/>
      <c r="II170" s="356"/>
      <c r="IJ170" s="356"/>
      <c r="IK170" s="356"/>
      <c r="IL170" s="356"/>
      <c r="IM170" s="356"/>
      <c r="IN170" s="356"/>
      <c r="IO170" s="356"/>
      <c r="IP170" s="356"/>
      <c r="IQ170" s="356"/>
      <c r="IR170" s="356"/>
      <c r="IS170" s="356"/>
      <c r="IT170" s="356"/>
      <c r="IU170" s="356"/>
      <c r="IV170" s="356"/>
    </row>
    <row r="171" spans="1:256" s="357" customFormat="1" ht="15.75" customHeight="1">
      <c r="A171" s="356"/>
      <c r="B171" s="644" t="s">
        <v>1711</v>
      </c>
      <c r="C171" s="414" t="s">
        <v>138</v>
      </c>
      <c r="D171" s="414" t="s">
        <v>344</v>
      </c>
      <c r="E171" s="461" t="s">
        <v>133</v>
      </c>
      <c r="F171" s="431">
        <v>53</v>
      </c>
      <c r="G171" s="432">
        <f>COMPOSIÇÕES!F243</f>
        <v>73.64652078814889</v>
      </c>
      <c r="H171" s="480">
        <f>'ADITIVO - PLANILHA ORÇAMETARIA '!F171*'ADITIVO - PLANILHA ORÇAMETARIA '!G171</f>
        <v>3903.2656017718914</v>
      </c>
      <c r="I171" s="645">
        <f t="shared" si="4"/>
        <v>4912.650086390102</v>
      </c>
      <c r="J171" s="356">
        <v>72.79999999999998</v>
      </c>
      <c r="K171" s="356"/>
      <c r="L171" s="356"/>
      <c r="M171" s="356"/>
      <c r="N171" s="356"/>
      <c r="O171" s="356"/>
      <c r="P171" s="356"/>
      <c r="Q171" s="356"/>
      <c r="R171" s="356"/>
      <c r="S171" s="356"/>
      <c r="T171" s="356"/>
      <c r="U171" s="356"/>
      <c r="V171" s="356"/>
      <c r="W171" s="356"/>
      <c r="X171" s="356"/>
      <c r="Y171" s="356"/>
      <c r="Z171" s="356"/>
      <c r="AA171" s="356"/>
      <c r="AB171" s="356"/>
      <c r="AC171" s="356"/>
      <c r="AD171" s="356"/>
      <c r="AE171" s="356"/>
      <c r="AF171" s="356"/>
      <c r="AG171" s="356"/>
      <c r="AH171" s="356"/>
      <c r="AI171" s="356"/>
      <c r="AJ171" s="356"/>
      <c r="AK171" s="356"/>
      <c r="AL171" s="356"/>
      <c r="AM171" s="356"/>
      <c r="AN171" s="356"/>
      <c r="AO171" s="356"/>
      <c r="AP171" s="356"/>
      <c r="AQ171" s="356"/>
      <c r="AR171" s="356"/>
      <c r="AS171" s="356"/>
      <c r="AT171" s="356"/>
      <c r="AU171" s="356"/>
      <c r="AV171" s="356"/>
      <c r="AW171" s="356"/>
      <c r="AX171" s="356"/>
      <c r="AY171" s="356"/>
      <c r="AZ171" s="356"/>
      <c r="BA171" s="356"/>
      <c r="BB171" s="356"/>
      <c r="BC171" s="356"/>
      <c r="BD171" s="356"/>
      <c r="BE171" s="356"/>
      <c r="BF171" s="356"/>
      <c r="BG171" s="356"/>
      <c r="BH171" s="356"/>
      <c r="BI171" s="356"/>
      <c r="BJ171" s="356"/>
      <c r="BK171" s="356"/>
      <c r="BL171" s="356"/>
      <c r="BM171" s="356"/>
      <c r="BN171" s="356"/>
      <c r="BO171" s="356"/>
      <c r="BP171" s="356"/>
      <c r="BQ171" s="356"/>
      <c r="BR171" s="356"/>
      <c r="BS171" s="356"/>
      <c r="BT171" s="356"/>
      <c r="BU171" s="356"/>
      <c r="BV171" s="356"/>
      <c r="BW171" s="356"/>
      <c r="BX171" s="356"/>
      <c r="BY171" s="356"/>
      <c r="BZ171" s="356"/>
      <c r="CA171" s="356"/>
      <c r="CB171" s="356"/>
      <c r="CC171" s="356"/>
      <c r="CD171" s="356"/>
      <c r="CE171" s="356"/>
      <c r="CF171" s="356"/>
      <c r="CG171" s="356"/>
      <c r="CH171" s="356"/>
      <c r="CI171" s="356"/>
      <c r="CJ171" s="356"/>
      <c r="CK171" s="356"/>
      <c r="CL171" s="356"/>
      <c r="CM171" s="356"/>
      <c r="CN171" s="356"/>
      <c r="CO171" s="356"/>
      <c r="CP171" s="356"/>
      <c r="CQ171" s="356"/>
      <c r="CR171" s="356"/>
      <c r="CS171" s="356"/>
      <c r="CT171" s="356"/>
      <c r="CU171" s="356"/>
      <c r="CV171" s="356"/>
      <c r="CW171" s="356"/>
      <c r="CX171" s="356"/>
      <c r="CY171" s="356"/>
      <c r="CZ171" s="356"/>
      <c r="DA171" s="356"/>
      <c r="DB171" s="356"/>
      <c r="DC171" s="356"/>
      <c r="DD171" s="356"/>
      <c r="DE171" s="356"/>
      <c r="DF171" s="356"/>
      <c r="DG171" s="356"/>
      <c r="DH171" s="356"/>
      <c r="DI171" s="356"/>
      <c r="DJ171" s="356"/>
      <c r="DK171" s="356"/>
      <c r="DL171" s="356"/>
      <c r="DM171" s="356"/>
      <c r="DN171" s="356"/>
      <c r="DO171" s="356"/>
      <c r="DP171" s="356"/>
      <c r="DQ171" s="356"/>
      <c r="DR171" s="356"/>
      <c r="DS171" s="356"/>
      <c r="DT171" s="356"/>
      <c r="DU171" s="356"/>
      <c r="DV171" s="356"/>
      <c r="DW171" s="356"/>
      <c r="DX171" s="356"/>
      <c r="DY171" s="356"/>
      <c r="DZ171" s="356"/>
      <c r="EA171" s="356"/>
      <c r="EB171" s="356"/>
      <c r="EC171" s="356"/>
      <c r="ED171" s="356"/>
      <c r="EE171" s="356"/>
      <c r="EF171" s="356"/>
      <c r="EG171" s="356"/>
      <c r="EH171" s="356"/>
      <c r="EI171" s="356"/>
      <c r="EJ171" s="356"/>
      <c r="EK171" s="356"/>
      <c r="EL171" s="356"/>
      <c r="EM171" s="356"/>
      <c r="EN171" s="356"/>
      <c r="EO171" s="356"/>
      <c r="EP171" s="356"/>
      <c r="EQ171" s="356"/>
      <c r="ER171" s="356"/>
      <c r="ES171" s="356"/>
      <c r="ET171" s="356"/>
      <c r="EU171" s="356"/>
      <c r="EV171" s="356"/>
      <c r="EW171" s="356"/>
      <c r="EX171" s="356"/>
      <c r="EY171" s="356"/>
      <c r="EZ171" s="356"/>
      <c r="FA171" s="356"/>
      <c r="FB171" s="356"/>
      <c r="FC171" s="356"/>
      <c r="FD171" s="356"/>
      <c r="FE171" s="356"/>
      <c r="FF171" s="356"/>
      <c r="FG171" s="356"/>
      <c r="FH171" s="356"/>
      <c r="FI171" s="356"/>
      <c r="FJ171" s="356"/>
      <c r="FK171" s="356"/>
      <c r="FL171" s="356"/>
      <c r="FM171" s="356"/>
      <c r="FN171" s="356"/>
      <c r="FO171" s="356"/>
      <c r="FP171" s="356"/>
      <c r="FQ171" s="356"/>
      <c r="FR171" s="356"/>
      <c r="FS171" s="356"/>
      <c r="FT171" s="356"/>
      <c r="FU171" s="356"/>
      <c r="FV171" s="356"/>
      <c r="FW171" s="356"/>
      <c r="FX171" s="356"/>
      <c r="FY171" s="356"/>
      <c r="FZ171" s="356"/>
      <c r="GA171" s="356"/>
      <c r="GB171" s="356"/>
      <c r="GC171" s="356"/>
      <c r="GD171" s="356"/>
      <c r="GE171" s="356"/>
      <c r="GF171" s="356"/>
      <c r="GG171" s="356"/>
      <c r="GH171" s="356"/>
      <c r="GI171" s="356"/>
      <c r="GJ171" s="356"/>
      <c r="GK171" s="356"/>
      <c r="GL171" s="356"/>
      <c r="GM171" s="356"/>
      <c r="GN171" s="356"/>
      <c r="GO171" s="356"/>
      <c r="GP171" s="356"/>
      <c r="GQ171" s="356"/>
      <c r="GR171" s="356"/>
      <c r="GS171" s="356"/>
      <c r="GT171" s="356"/>
      <c r="GU171" s="356"/>
      <c r="GV171" s="356"/>
      <c r="GW171" s="356"/>
      <c r="GX171" s="356"/>
      <c r="GY171" s="356"/>
      <c r="GZ171" s="356"/>
      <c r="HA171" s="356"/>
      <c r="HB171" s="356"/>
      <c r="HC171" s="356"/>
      <c r="HD171" s="356"/>
      <c r="HE171" s="356"/>
      <c r="HF171" s="356"/>
      <c r="HG171" s="356"/>
      <c r="HH171" s="356"/>
      <c r="HI171" s="356"/>
      <c r="HJ171" s="356"/>
      <c r="HK171" s="356"/>
      <c r="HL171" s="356"/>
      <c r="HM171" s="356"/>
      <c r="HN171" s="356"/>
      <c r="HO171" s="356"/>
      <c r="HP171" s="356"/>
      <c r="HQ171" s="356"/>
      <c r="HR171" s="356"/>
      <c r="HS171" s="356"/>
      <c r="HT171" s="356"/>
      <c r="HU171" s="356"/>
      <c r="HV171" s="356"/>
      <c r="HW171" s="356"/>
      <c r="HX171" s="356"/>
      <c r="HY171" s="356"/>
      <c r="HZ171" s="356"/>
      <c r="IA171" s="356"/>
      <c r="IB171" s="356"/>
      <c r="IC171" s="356"/>
      <c r="ID171" s="356"/>
      <c r="IE171" s="356"/>
      <c r="IF171" s="356"/>
      <c r="IG171" s="356"/>
      <c r="IH171" s="356"/>
      <c r="II171" s="356"/>
      <c r="IJ171" s="356"/>
      <c r="IK171" s="356"/>
      <c r="IL171" s="356"/>
      <c r="IM171" s="356"/>
      <c r="IN171" s="356"/>
      <c r="IO171" s="356"/>
      <c r="IP171" s="356"/>
      <c r="IQ171" s="356"/>
      <c r="IR171" s="356"/>
      <c r="IS171" s="356"/>
      <c r="IT171" s="356"/>
      <c r="IU171" s="356"/>
      <c r="IV171" s="356"/>
    </row>
    <row r="172" spans="1:256" s="357" customFormat="1" ht="15.75" customHeight="1">
      <c r="A172" s="356"/>
      <c r="B172" s="644" t="s">
        <v>1712</v>
      </c>
      <c r="C172" s="414" t="s">
        <v>878</v>
      </c>
      <c r="D172" s="414" t="s">
        <v>1839</v>
      </c>
      <c r="E172" s="461" t="s">
        <v>18</v>
      </c>
      <c r="F172" s="431">
        <v>1</v>
      </c>
      <c r="G172" s="432">
        <f>COMPOSIÇÕES!F384</f>
        <v>161.728</v>
      </c>
      <c r="H172" s="480">
        <f>'ADITIVO - PLANILHA ORÇAMETARIA '!F172*'ADITIVO - PLANILHA ORÇAMETARIA '!G172</f>
        <v>161.728</v>
      </c>
      <c r="I172" s="645">
        <f t="shared" si="4"/>
        <v>203.5508608</v>
      </c>
      <c r="J172" s="356">
        <v>71.96000000000001</v>
      </c>
      <c r="K172" s="356"/>
      <c r="L172" s="356"/>
      <c r="M172" s="356"/>
      <c r="N172" s="356"/>
      <c r="O172" s="356"/>
      <c r="P172" s="356"/>
      <c r="Q172" s="356"/>
      <c r="R172" s="356"/>
      <c r="S172" s="356"/>
      <c r="T172" s="356"/>
      <c r="U172" s="356"/>
      <c r="V172" s="356"/>
      <c r="W172" s="356"/>
      <c r="X172" s="356"/>
      <c r="Y172" s="356"/>
      <c r="Z172" s="356"/>
      <c r="AA172" s="356"/>
      <c r="AB172" s="356"/>
      <c r="AC172" s="356"/>
      <c r="AD172" s="356"/>
      <c r="AE172" s="356"/>
      <c r="AF172" s="356"/>
      <c r="AG172" s="356"/>
      <c r="AH172" s="356"/>
      <c r="AI172" s="356"/>
      <c r="AJ172" s="356"/>
      <c r="AK172" s="356"/>
      <c r="AL172" s="356"/>
      <c r="AM172" s="356"/>
      <c r="AN172" s="356"/>
      <c r="AO172" s="356"/>
      <c r="AP172" s="356"/>
      <c r="AQ172" s="356"/>
      <c r="AR172" s="356"/>
      <c r="AS172" s="356"/>
      <c r="AT172" s="356"/>
      <c r="AU172" s="356"/>
      <c r="AV172" s="356"/>
      <c r="AW172" s="356"/>
      <c r="AX172" s="356"/>
      <c r="AY172" s="356"/>
      <c r="AZ172" s="356"/>
      <c r="BA172" s="356"/>
      <c r="BB172" s="356"/>
      <c r="BC172" s="356"/>
      <c r="BD172" s="356"/>
      <c r="BE172" s="356"/>
      <c r="BF172" s="356"/>
      <c r="BG172" s="356"/>
      <c r="BH172" s="356"/>
      <c r="BI172" s="356"/>
      <c r="BJ172" s="356"/>
      <c r="BK172" s="356"/>
      <c r="BL172" s="356"/>
      <c r="BM172" s="356"/>
      <c r="BN172" s="356"/>
      <c r="BO172" s="356"/>
      <c r="BP172" s="356"/>
      <c r="BQ172" s="356"/>
      <c r="BR172" s="356"/>
      <c r="BS172" s="356"/>
      <c r="BT172" s="356"/>
      <c r="BU172" s="356"/>
      <c r="BV172" s="356"/>
      <c r="BW172" s="356"/>
      <c r="BX172" s="356"/>
      <c r="BY172" s="356"/>
      <c r="BZ172" s="356"/>
      <c r="CA172" s="356"/>
      <c r="CB172" s="356"/>
      <c r="CC172" s="356"/>
      <c r="CD172" s="356"/>
      <c r="CE172" s="356"/>
      <c r="CF172" s="356"/>
      <c r="CG172" s="356"/>
      <c r="CH172" s="356"/>
      <c r="CI172" s="356"/>
      <c r="CJ172" s="356"/>
      <c r="CK172" s="356"/>
      <c r="CL172" s="356"/>
      <c r="CM172" s="356"/>
      <c r="CN172" s="356"/>
      <c r="CO172" s="356"/>
      <c r="CP172" s="356"/>
      <c r="CQ172" s="356"/>
      <c r="CR172" s="356"/>
      <c r="CS172" s="356"/>
      <c r="CT172" s="356"/>
      <c r="CU172" s="356"/>
      <c r="CV172" s="356"/>
      <c r="CW172" s="356"/>
      <c r="CX172" s="356"/>
      <c r="CY172" s="356"/>
      <c r="CZ172" s="356"/>
      <c r="DA172" s="356"/>
      <c r="DB172" s="356"/>
      <c r="DC172" s="356"/>
      <c r="DD172" s="356"/>
      <c r="DE172" s="356"/>
      <c r="DF172" s="356"/>
      <c r="DG172" s="356"/>
      <c r="DH172" s="356"/>
      <c r="DI172" s="356"/>
      <c r="DJ172" s="356"/>
      <c r="DK172" s="356"/>
      <c r="DL172" s="356"/>
      <c r="DM172" s="356"/>
      <c r="DN172" s="356"/>
      <c r="DO172" s="356"/>
      <c r="DP172" s="356"/>
      <c r="DQ172" s="356"/>
      <c r="DR172" s="356"/>
      <c r="DS172" s="356"/>
      <c r="DT172" s="356"/>
      <c r="DU172" s="356"/>
      <c r="DV172" s="356"/>
      <c r="DW172" s="356"/>
      <c r="DX172" s="356"/>
      <c r="DY172" s="356"/>
      <c r="DZ172" s="356"/>
      <c r="EA172" s="356"/>
      <c r="EB172" s="356"/>
      <c r="EC172" s="356"/>
      <c r="ED172" s="356"/>
      <c r="EE172" s="356"/>
      <c r="EF172" s="356"/>
      <c r="EG172" s="356"/>
      <c r="EH172" s="356"/>
      <c r="EI172" s="356"/>
      <c r="EJ172" s="356"/>
      <c r="EK172" s="356"/>
      <c r="EL172" s="356"/>
      <c r="EM172" s="356"/>
      <c r="EN172" s="356"/>
      <c r="EO172" s="356"/>
      <c r="EP172" s="356"/>
      <c r="EQ172" s="356"/>
      <c r="ER172" s="356"/>
      <c r="ES172" s="356"/>
      <c r="ET172" s="356"/>
      <c r="EU172" s="356"/>
      <c r="EV172" s="356"/>
      <c r="EW172" s="356"/>
      <c r="EX172" s="356"/>
      <c r="EY172" s="356"/>
      <c r="EZ172" s="356"/>
      <c r="FA172" s="356"/>
      <c r="FB172" s="356"/>
      <c r="FC172" s="356"/>
      <c r="FD172" s="356"/>
      <c r="FE172" s="356"/>
      <c r="FF172" s="356"/>
      <c r="FG172" s="356"/>
      <c r="FH172" s="356"/>
      <c r="FI172" s="356"/>
      <c r="FJ172" s="356"/>
      <c r="FK172" s="356"/>
      <c r="FL172" s="356"/>
      <c r="FM172" s="356"/>
      <c r="FN172" s="356"/>
      <c r="FO172" s="356"/>
      <c r="FP172" s="356"/>
      <c r="FQ172" s="356"/>
      <c r="FR172" s="356"/>
      <c r="FS172" s="356"/>
      <c r="FT172" s="356"/>
      <c r="FU172" s="356"/>
      <c r="FV172" s="356"/>
      <c r="FW172" s="356"/>
      <c r="FX172" s="356"/>
      <c r="FY172" s="356"/>
      <c r="FZ172" s="356"/>
      <c r="GA172" s="356"/>
      <c r="GB172" s="356"/>
      <c r="GC172" s="356"/>
      <c r="GD172" s="356"/>
      <c r="GE172" s="356"/>
      <c r="GF172" s="356"/>
      <c r="GG172" s="356"/>
      <c r="GH172" s="356"/>
      <c r="GI172" s="356"/>
      <c r="GJ172" s="356"/>
      <c r="GK172" s="356"/>
      <c r="GL172" s="356"/>
      <c r="GM172" s="356"/>
      <c r="GN172" s="356"/>
      <c r="GO172" s="356"/>
      <c r="GP172" s="356"/>
      <c r="GQ172" s="356"/>
      <c r="GR172" s="356"/>
      <c r="GS172" s="356"/>
      <c r="GT172" s="356"/>
      <c r="GU172" s="356"/>
      <c r="GV172" s="356"/>
      <c r="GW172" s="356"/>
      <c r="GX172" s="356"/>
      <c r="GY172" s="356"/>
      <c r="GZ172" s="356"/>
      <c r="HA172" s="356"/>
      <c r="HB172" s="356"/>
      <c r="HC172" s="356"/>
      <c r="HD172" s="356"/>
      <c r="HE172" s="356"/>
      <c r="HF172" s="356"/>
      <c r="HG172" s="356"/>
      <c r="HH172" s="356"/>
      <c r="HI172" s="356"/>
      <c r="HJ172" s="356"/>
      <c r="HK172" s="356"/>
      <c r="HL172" s="356"/>
      <c r="HM172" s="356"/>
      <c r="HN172" s="356"/>
      <c r="HO172" s="356"/>
      <c r="HP172" s="356"/>
      <c r="HQ172" s="356"/>
      <c r="HR172" s="356"/>
      <c r="HS172" s="356"/>
      <c r="HT172" s="356"/>
      <c r="HU172" s="356"/>
      <c r="HV172" s="356"/>
      <c r="HW172" s="356"/>
      <c r="HX172" s="356"/>
      <c r="HY172" s="356"/>
      <c r="HZ172" s="356"/>
      <c r="IA172" s="356"/>
      <c r="IB172" s="356"/>
      <c r="IC172" s="356"/>
      <c r="ID172" s="356"/>
      <c r="IE172" s="356"/>
      <c r="IF172" s="356"/>
      <c r="IG172" s="356"/>
      <c r="IH172" s="356"/>
      <c r="II172" s="356"/>
      <c r="IJ172" s="356"/>
      <c r="IK172" s="356"/>
      <c r="IL172" s="356"/>
      <c r="IM172" s="356"/>
      <c r="IN172" s="356"/>
      <c r="IO172" s="356"/>
      <c r="IP172" s="356"/>
      <c r="IQ172" s="356"/>
      <c r="IR172" s="356"/>
      <c r="IS172" s="356"/>
      <c r="IT172" s="356"/>
      <c r="IU172" s="356"/>
      <c r="IV172" s="356"/>
    </row>
    <row r="173" spans="1:256" s="357" customFormat="1" ht="25.5">
      <c r="A173" s="356"/>
      <c r="B173" s="644" t="s">
        <v>1713</v>
      </c>
      <c r="C173" s="413" t="s">
        <v>345</v>
      </c>
      <c r="D173" s="414" t="s">
        <v>346</v>
      </c>
      <c r="E173" s="415" t="s">
        <v>26</v>
      </c>
      <c r="F173" s="413">
        <f>2.08+(0.57*2)</f>
        <v>3.2199999999999998</v>
      </c>
      <c r="G173" s="416">
        <v>72.53</v>
      </c>
      <c r="H173" s="480">
        <f>'ADITIVO - PLANILHA ORÇAMETARIA '!G173*'ADITIVO - PLANILHA ORÇAMETARIA '!F173</f>
        <v>233.54659999999998</v>
      </c>
      <c r="I173" s="645">
        <f t="shared" si="4"/>
        <v>293.94175076</v>
      </c>
      <c r="J173" s="356">
        <v>74.42</v>
      </c>
      <c r="K173" s="356"/>
      <c r="L173" s="356"/>
      <c r="M173" s="356"/>
      <c r="N173" s="356"/>
      <c r="O173" s="356"/>
      <c r="P173" s="356"/>
      <c r="Q173" s="356"/>
      <c r="R173" s="356"/>
      <c r="S173" s="356"/>
      <c r="T173" s="356"/>
      <c r="U173" s="356"/>
      <c r="V173" s="356"/>
      <c r="W173" s="356"/>
      <c r="X173" s="356"/>
      <c r="Y173" s="356"/>
      <c r="Z173" s="356"/>
      <c r="AA173" s="356"/>
      <c r="AB173" s="356"/>
      <c r="AC173" s="356"/>
      <c r="AD173" s="356"/>
      <c r="AE173" s="356"/>
      <c r="AF173" s="356"/>
      <c r="AG173" s="356"/>
      <c r="AH173" s="356"/>
      <c r="AI173" s="356"/>
      <c r="AJ173" s="356"/>
      <c r="AK173" s="356"/>
      <c r="AL173" s="356"/>
      <c r="AM173" s="356"/>
      <c r="AN173" s="356"/>
      <c r="AO173" s="356"/>
      <c r="AP173" s="356"/>
      <c r="AQ173" s="356"/>
      <c r="AR173" s="356"/>
      <c r="AS173" s="356"/>
      <c r="AT173" s="356"/>
      <c r="AU173" s="356"/>
      <c r="AV173" s="356"/>
      <c r="AW173" s="356"/>
      <c r="AX173" s="356"/>
      <c r="AY173" s="356"/>
      <c r="AZ173" s="356"/>
      <c r="BA173" s="356"/>
      <c r="BB173" s="356"/>
      <c r="BC173" s="356"/>
      <c r="BD173" s="356"/>
      <c r="BE173" s="356"/>
      <c r="BF173" s="356"/>
      <c r="BG173" s="356"/>
      <c r="BH173" s="356"/>
      <c r="BI173" s="356"/>
      <c r="BJ173" s="356"/>
      <c r="BK173" s="356"/>
      <c r="BL173" s="356"/>
      <c r="BM173" s="356"/>
      <c r="BN173" s="356"/>
      <c r="BO173" s="356"/>
      <c r="BP173" s="356"/>
      <c r="BQ173" s="356"/>
      <c r="BR173" s="356"/>
      <c r="BS173" s="356"/>
      <c r="BT173" s="356"/>
      <c r="BU173" s="356"/>
      <c r="BV173" s="356"/>
      <c r="BW173" s="356"/>
      <c r="BX173" s="356"/>
      <c r="BY173" s="356"/>
      <c r="BZ173" s="356"/>
      <c r="CA173" s="356"/>
      <c r="CB173" s="356"/>
      <c r="CC173" s="356"/>
      <c r="CD173" s="356"/>
      <c r="CE173" s="356"/>
      <c r="CF173" s="356"/>
      <c r="CG173" s="356"/>
      <c r="CH173" s="356"/>
      <c r="CI173" s="356"/>
      <c r="CJ173" s="356"/>
      <c r="CK173" s="356"/>
      <c r="CL173" s="356"/>
      <c r="CM173" s="356"/>
      <c r="CN173" s="356"/>
      <c r="CO173" s="356"/>
      <c r="CP173" s="356"/>
      <c r="CQ173" s="356"/>
      <c r="CR173" s="356"/>
      <c r="CS173" s="356"/>
      <c r="CT173" s="356"/>
      <c r="CU173" s="356"/>
      <c r="CV173" s="356"/>
      <c r="CW173" s="356"/>
      <c r="CX173" s="356"/>
      <c r="CY173" s="356"/>
      <c r="CZ173" s="356"/>
      <c r="DA173" s="356"/>
      <c r="DB173" s="356"/>
      <c r="DC173" s="356"/>
      <c r="DD173" s="356"/>
      <c r="DE173" s="356"/>
      <c r="DF173" s="356"/>
      <c r="DG173" s="356"/>
      <c r="DH173" s="356"/>
      <c r="DI173" s="356"/>
      <c r="DJ173" s="356"/>
      <c r="DK173" s="356"/>
      <c r="DL173" s="356"/>
      <c r="DM173" s="356"/>
      <c r="DN173" s="356"/>
      <c r="DO173" s="356"/>
      <c r="DP173" s="356"/>
      <c r="DQ173" s="356"/>
      <c r="DR173" s="356"/>
      <c r="DS173" s="356"/>
      <c r="DT173" s="356"/>
      <c r="DU173" s="356"/>
      <c r="DV173" s="356"/>
      <c r="DW173" s="356"/>
      <c r="DX173" s="356"/>
      <c r="DY173" s="356"/>
      <c r="DZ173" s="356"/>
      <c r="EA173" s="356"/>
      <c r="EB173" s="356"/>
      <c r="EC173" s="356"/>
      <c r="ED173" s="356"/>
      <c r="EE173" s="356"/>
      <c r="EF173" s="356"/>
      <c r="EG173" s="356"/>
      <c r="EH173" s="356"/>
      <c r="EI173" s="356"/>
      <c r="EJ173" s="356"/>
      <c r="EK173" s="356"/>
      <c r="EL173" s="356"/>
      <c r="EM173" s="356"/>
      <c r="EN173" s="356"/>
      <c r="EO173" s="356"/>
      <c r="EP173" s="356"/>
      <c r="EQ173" s="356"/>
      <c r="ER173" s="356"/>
      <c r="ES173" s="356"/>
      <c r="ET173" s="356"/>
      <c r="EU173" s="356"/>
      <c r="EV173" s="356"/>
      <c r="EW173" s="356"/>
      <c r="EX173" s="356"/>
      <c r="EY173" s="356"/>
      <c r="EZ173" s="356"/>
      <c r="FA173" s="356"/>
      <c r="FB173" s="356"/>
      <c r="FC173" s="356"/>
      <c r="FD173" s="356"/>
      <c r="FE173" s="356"/>
      <c r="FF173" s="356"/>
      <c r="FG173" s="356"/>
      <c r="FH173" s="356"/>
      <c r="FI173" s="356"/>
      <c r="FJ173" s="356"/>
      <c r="FK173" s="356"/>
      <c r="FL173" s="356"/>
      <c r="FM173" s="356"/>
      <c r="FN173" s="356"/>
      <c r="FO173" s="356"/>
      <c r="FP173" s="356"/>
      <c r="FQ173" s="356"/>
      <c r="FR173" s="356"/>
      <c r="FS173" s="356"/>
      <c r="FT173" s="356"/>
      <c r="FU173" s="356"/>
      <c r="FV173" s="356"/>
      <c r="FW173" s="356"/>
      <c r="FX173" s="356"/>
      <c r="FY173" s="356"/>
      <c r="FZ173" s="356"/>
      <c r="GA173" s="356"/>
      <c r="GB173" s="356"/>
      <c r="GC173" s="356"/>
      <c r="GD173" s="356"/>
      <c r="GE173" s="356"/>
      <c r="GF173" s="356"/>
      <c r="GG173" s="356"/>
      <c r="GH173" s="356"/>
      <c r="GI173" s="356"/>
      <c r="GJ173" s="356"/>
      <c r="GK173" s="356"/>
      <c r="GL173" s="356"/>
      <c r="GM173" s="356"/>
      <c r="GN173" s="356"/>
      <c r="GO173" s="356"/>
      <c r="GP173" s="356"/>
      <c r="GQ173" s="356"/>
      <c r="GR173" s="356"/>
      <c r="GS173" s="356"/>
      <c r="GT173" s="356"/>
      <c r="GU173" s="356"/>
      <c r="GV173" s="356"/>
      <c r="GW173" s="356"/>
      <c r="GX173" s="356"/>
      <c r="GY173" s="356"/>
      <c r="GZ173" s="356"/>
      <c r="HA173" s="356"/>
      <c r="HB173" s="356"/>
      <c r="HC173" s="356"/>
      <c r="HD173" s="356"/>
      <c r="HE173" s="356"/>
      <c r="HF173" s="356"/>
      <c r="HG173" s="356"/>
      <c r="HH173" s="356"/>
      <c r="HI173" s="356"/>
      <c r="HJ173" s="356"/>
      <c r="HK173" s="356"/>
      <c r="HL173" s="356"/>
      <c r="HM173" s="356"/>
      <c r="HN173" s="356"/>
      <c r="HO173" s="356"/>
      <c r="HP173" s="356"/>
      <c r="HQ173" s="356"/>
      <c r="HR173" s="356"/>
      <c r="HS173" s="356"/>
      <c r="HT173" s="356"/>
      <c r="HU173" s="356"/>
      <c r="HV173" s="356"/>
      <c r="HW173" s="356"/>
      <c r="HX173" s="356"/>
      <c r="HY173" s="356"/>
      <c r="HZ173" s="356"/>
      <c r="IA173" s="356"/>
      <c r="IB173" s="356"/>
      <c r="IC173" s="356"/>
      <c r="ID173" s="356"/>
      <c r="IE173" s="356"/>
      <c r="IF173" s="356"/>
      <c r="IG173" s="356"/>
      <c r="IH173" s="356"/>
      <c r="II173" s="356"/>
      <c r="IJ173" s="356"/>
      <c r="IK173" s="356"/>
      <c r="IL173" s="356"/>
      <c r="IM173" s="356"/>
      <c r="IN173" s="356"/>
      <c r="IO173" s="356"/>
      <c r="IP173" s="356"/>
      <c r="IQ173" s="356"/>
      <c r="IR173" s="356"/>
      <c r="IS173" s="356"/>
      <c r="IT173" s="356"/>
      <c r="IU173" s="356"/>
      <c r="IV173" s="356"/>
    </row>
    <row r="174" spans="2:10" s="357" customFormat="1" ht="25.5">
      <c r="B174" s="644" t="s">
        <v>1714</v>
      </c>
      <c r="C174" s="408" t="s">
        <v>347</v>
      </c>
      <c r="D174" s="408" t="s">
        <v>348</v>
      </c>
      <c r="E174" s="410" t="s">
        <v>26</v>
      </c>
      <c r="F174" s="408">
        <f>2*(41.32+25.6)+400</f>
        <v>533.84</v>
      </c>
      <c r="G174" s="412">
        <v>30.33</v>
      </c>
      <c r="H174" s="482">
        <f>'ADITIVO - PLANILHA ORÇAMETARIA '!G174*'ADITIVO - PLANILHA ORÇAMETARIA '!F174</f>
        <v>16191.3672</v>
      </c>
      <c r="I174" s="645">
        <f t="shared" si="4"/>
        <v>20378.45475792</v>
      </c>
      <c r="J174" s="357">
        <v>30.33</v>
      </c>
    </row>
    <row r="175" spans="1:256" s="357" customFormat="1" ht="26.25" thickBot="1">
      <c r="A175" s="356"/>
      <c r="B175" s="644" t="s">
        <v>1715</v>
      </c>
      <c r="C175" s="409" t="s">
        <v>1749</v>
      </c>
      <c r="D175" s="409" t="s">
        <v>349</v>
      </c>
      <c r="E175" s="462" t="s">
        <v>26</v>
      </c>
      <c r="F175" s="408">
        <f>46.27</f>
        <v>46.27</v>
      </c>
      <c r="G175" s="412">
        <v>134.98</v>
      </c>
      <c r="H175" s="482">
        <f>'ADITIVO - PLANILHA ORÇAMETARIA '!G175*'ADITIVO - PLANILHA ORÇAMETARIA '!F175</f>
        <v>6245.5246</v>
      </c>
      <c r="I175" s="646">
        <f t="shared" si="4"/>
        <v>7860.617261559999</v>
      </c>
      <c r="J175" s="356">
        <v>136.66</v>
      </c>
      <c r="K175" s="356"/>
      <c r="L175" s="356"/>
      <c r="M175" s="356"/>
      <c r="N175" s="356"/>
      <c r="O175" s="356"/>
      <c r="P175" s="356"/>
      <c r="Q175" s="356"/>
      <c r="R175" s="356"/>
      <c r="S175" s="356"/>
      <c r="T175" s="356"/>
      <c r="U175" s="356"/>
      <c r="V175" s="356"/>
      <c r="W175" s="356"/>
      <c r="X175" s="356"/>
      <c r="Y175" s="356"/>
      <c r="Z175" s="356"/>
      <c r="AA175" s="356"/>
      <c r="AB175" s="356"/>
      <c r="AC175" s="356"/>
      <c r="AD175" s="356"/>
      <c r="AE175" s="356"/>
      <c r="AF175" s="356"/>
      <c r="AG175" s="356"/>
      <c r="AH175" s="356"/>
      <c r="AI175" s="356"/>
      <c r="AJ175" s="356"/>
      <c r="AK175" s="356"/>
      <c r="AL175" s="356"/>
      <c r="AM175" s="356"/>
      <c r="AN175" s="356"/>
      <c r="AO175" s="356"/>
      <c r="AP175" s="356"/>
      <c r="AQ175" s="356"/>
      <c r="AR175" s="356"/>
      <c r="AS175" s="356"/>
      <c r="AT175" s="356"/>
      <c r="AU175" s="356"/>
      <c r="AV175" s="356"/>
      <c r="AW175" s="356"/>
      <c r="AX175" s="356"/>
      <c r="AY175" s="356"/>
      <c r="AZ175" s="356"/>
      <c r="BA175" s="356"/>
      <c r="BB175" s="356"/>
      <c r="BC175" s="356"/>
      <c r="BD175" s="356"/>
      <c r="BE175" s="356"/>
      <c r="BF175" s="356"/>
      <c r="BG175" s="356"/>
      <c r="BH175" s="356"/>
      <c r="BI175" s="356"/>
      <c r="BJ175" s="356"/>
      <c r="BK175" s="356"/>
      <c r="BL175" s="356"/>
      <c r="BM175" s="356"/>
      <c r="BN175" s="356"/>
      <c r="BO175" s="356"/>
      <c r="BP175" s="356"/>
      <c r="BQ175" s="356"/>
      <c r="BR175" s="356"/>
      <c r="BS175" s="356"/>
      <c r="BT175" s="356"/>
      <c r="BU175" s="356"/>
      <c r="BV175" s="356"/>
      <c r="BW175" s="356"/>
      <c r="BX175" s="356"/>
      <c r="BY175" s="356"/>
      <c r="BZ175" s="356"/>
      <c r="CA175" s="356"/>
      <c r="CB175" s="356"/>
      <c r="CC175" s="356"/>
      <c r="CD175" s="356"/>
      <c r="CE175" s="356"/>
      <c r="CF175" s="356"/>
      <c r="CG175" s="356"/>
      <c r="CH175" s="356"/>
      <c r="CI175" s="356"/>
      <c r="CJ175" s="356"/>
      <c r="CK175" s="356"/>
      <c r="CL175" s="356"/>
      <c r="CM175" s="356"/>
      <c r="CN175" s="356"/>
      <c r="CO175" s="356"/>
      <c r="CP175" s="356"/>
      <c r="CQ175" s="356"/>
      <c r="CR175" s="356"/>
      <c r="CS175" s="356"/>
      <c r="CT175" s="356"/>
      <c r="CU175" s="356"/>
      <c r="CV175" s="356"/>
      <c r="CW175" s="356"/>
      <c r="CX175" s="356"/>
      <c r="CY175" s="356"/>
      <c r="CZ175" s="356"/>
      <c r="DA175" s="356"/>
      <c r="DB175" s="356"/>
      <c r="DC175" s="356"/>
      <c r="DD175" s="356"/>
      <c r="DE175" s="356"/>
      <c r="DF175" s="356"/>
      <c r="DG175" s="356"/>
      <c r="DH175" s="356"/>
      <c r="DI175" s="356"/>
      <c r="DJ175" s="356"/>
      <c r="DK175" s="356"/>
      <c r="DL175" s="356"/>
      <c r="DM175" s="356"/>
      <c r="DN175" s="356"/>
      <c r="DO175" s="356"/>
      <c r="DP175" s="356"/>
      <c r="DQ175" s="356"/>
      <c r="DR175" s="356"/>
      <c r="DS175" s="356"/>
      <c r="DT175" s="356"/>
      <c r="DU175" s="356"/>
      <c r="DV175" s="356"/>
      <c r="DW175" s="356"/>
      <c r="DX175" s="356"/>
      <c r="DY175" s="356"/>
      <c r="DZ175" s="356"/>
      <c r="EA175" s="356"/>
      <c r="EB175" s="356"/>
      <c r="EC175" s="356"/>
      <c r="ED175" s="356"/>
      <c r="EE175" s="356"/>
      <c r="EF175" s="356"/>
      <c r="EG175" s="356"/>
      <c r="EH175" s="356"/>
      <c r="EI175" s="356"/>
      <c r="EJ175" s="356"/>
      <c r="EK175" s="356"/>
      <c r="EL175" s="356"/>
      <c r="EM175" s="356"/>
      <c r="EN175" s="356"/>
      <c r="EO175" s="356"/>
      <c r="EP175" s="356"/>
      <c r="EQ175" s="356"/>
      <c r="ER175" s="356"/>
      <c r="ES175" s="356"/>
      <c r="ET175" s="356"/>
      <c r="EU175" s="356"/>
      <c r="EV175" s="356"/>
      <c r="EW175" s="356"/>
      <c r="EX175" s="356"/>
      <c r="EY175" s="356"/>
      <c r="EZ175" s="356"/>
      <c r="FA175" s="356"/>
      <c r="FB175" s="356"/>
      <c r="FC175" s="356"/>
      <c r="FD175" s="356"/>
      <c r="FE175" s="356"/>
      <c r="FF175" s="356"/>
      <c r="FG175" s="356"/>
      <c r="FH175" s="356"/>
      <c r="FI175" s="356"/>
      <c r="FJ175" s="356"/>
      <c r="FK175" s="356"/>
      <c r="FL175" s="356"/>
      <c r="FM175" s="356"/>
      <c r="FN175" s="356"/>
      <c r="FO175" s="356"/>
      <c r="FP175" s="356"/>
      <c r="FQ175" s="356"/>
      <c r="FR175" s="356"/>
      <c r="FS175" s="356"/>
      <c r="FT175" s="356"/>
      <c r="FU175" s="356"/>
      <c r="FV175" s="356"/>
      <c r="FW175" s="356"/>
      <c r="FX175" s="356"/>
      <c r="FY175" s="356"/>
      <c r="FZ175" s="356"/>
      <c r="GA175" s="356"/>
      <c r="GB175" s="356"/>
      <c r="GC175" s="356"/>
      <c r="GD175" s="356"/>
      <c r="GE175" s="356"/>
      <c r="GF175" s="356"/>
      <c r="GG175" s="356"/>
      <c r="GH175" s="356"/>
      <c r="GI175" s="356"/>
      <c r="GJ175" s="356"/>
      <c r="GK175" s="356"/>
      <c r="GL175" s="356"/>
      <c r="GM175" s="356"/>
      <c r="GN175" s="356"/>
      <c r="GO175" s="356"/>
      <c r="GP175" s="356"/>
      <c r="GQ175" s="356"/>
      <c r="GR175" s="356"/>
      <c r="GS175" s="356"/>
      <c r="GT175" s="356"/>
      <c r="GU175" s="356"/>
      <c r="GV175" s="356"/>
      <c r="GW175" s="356"/>
      <c r="GX175" s="356"/>
      <c r="GY175" s="356"/>
      <c r="GZ175" s="356"/>
      <c r="HA175" s="356"/>
      <c r="HB175" s="356"/>
      <c r="HC175" s="356"/>
      <c r="HD175" s="356"/>
      <c r="HE175" s="356"/>
      <c r="HF175" s="356"/>
      <c r="HG175" s="356"/>
      <c r="HH175" s="356"/>
      <c r="HI175" s="356"/>
      <c r="HJ175" s="356"/>
      <c r="HK175" s="356"/>
      <c r="HL175" s="356"/>
      <c r="HM175" s="356"/>
      <c r="HN175" s="356"/>
      <c r="HO175" s="356"/>
      <c r="HP175" s="356"/>
      <c r="HQ175" s="356"/>
      <c r="HR175" s="356"/>
      <c r="HS175" s="356"/>
      <c r="HT175" s="356"/>
      <c r="HU175" s="356"/>
      <c r="HV175" s="356"/>
      <c r="HW175" s="356"/>
      <c r="HX175" s="356"/>
      <c r="HY175" s="356"/>
      <c r="HZ175" s="356"/>
      <c r="IA175" s="356"/>
      <c r="IB175" s="356"/>
      <c r="IC175" s="356"/>
      <c r="ID175" s="356"/>
      <c r="IE175" s="356"/>
      <c r="IF175" s="356"/>
      <c r="IG175" s="356"/>
      <c r="IH175" s="356"/>
      <c r="II175" s="356"/>
      <c r="IJ175" s="356"/>
      <c r="IK175" s="356"/>
      <c r="IL175" s="356"/>
      <c r="IM175" s="356"/>
      <c r="IN175" s="356"/>
      <c r="IO175" s="356"/>
      <c r="IP175" s="356"/>
      <c r="IQ175" s="356"/>
      <c r="IR175" s="356"/>
      <c r="IS175" s="356"/>
      <c r="IT175" s="356"/>
      <c r="IU175" s="356"/>
      <c r="IV175" s="356"/>
    </row>
    <row r="176" spans="2:9" ht="12.75" customHeight="1" thickBot="1">
      <c r="B176" s="613"/>
      <c r="C176" s="225"/>
      <c r="D176" s="225"/>
      <c r="E176" s="226"/>
      <c r="F176" s="225"/>
      <c r="G176" s="227"/>
      <c r="H176" s="478"/>
      <c r="I176" s="636"/>
    </row>
    <row r="177" spans="2:9" ht="12.75" customHeight="1">
      <c r="B177" s="637" t="s">
        <v>358</v>
      </c>
      <c r="C177" s="222"/>
      <c r="D177" s="220" t="s">
        <v>351</v>
      </c>
      <c r="E177" s="221"/>
      <c r="F177" s="222"/>
      <c r="G177" s="222"/>
      <c r="H177" s="489">
        <f>H178</f>
        <v>13105.15</v>
      </c>
      <c r="I177" s="638">
        <f t="shared" si="4"/>
        <v>16494.141789999998</v>
      </c>
    </row>
    <row r="178" spans="2:9" s="271" customFormat="1" ht="12.75" customHeight="1">
      <c r="B178" s="639" t="s">
        <v>360</v>
      </c>
      <c r="C178" s="239"/>
      <c r="D178" s="237" t="s">
        <v>328</v>
      </c>
      <c r="E178" s="238"/>
      <c r="F178" s="239"/>
      <c r="G178" s="239"/>
      <c r="H178" s="476">
        <f>ROUND(SUM(H179:H181),2)</f>
        <v>13105.15</v>
      </c>
      <c r="I178" s="643">
        <f t="shared" si="4"/>
        <v>16494.141789999998</v>
      </c>
    </row>
    <row r="179" spans="1:256" s="357" customFormat="1" ht="12.75" customHeight="1">
      <c r="A179" s="356"/>
      <c r="B179" s="635" t="s">
        <v>361</v>
      </c>
      <c r="C179" s="413" t="s">
        <v>354</v>
      </c>
      <c r="D179" s="414" t="s">
        <v>355</v>
      </c>
      <c r="E179" s="430" t="s">
        <v>26</v>
      </c>
      <c r="F179" s="413">
        <v>301.01</v>
      </c>
      <c r="G179" s="416">
        <v>40.16</v>
      </c>
      <c r="H179" s="480">
        <f>'ADITIVO - PLANILHA ORÇAMETARIA '!G179*'ADITIVO - PLANILHA ORÇAMETARIA '!F179</f>
        <v>12088.561599999999</v>
      </c>
      <c r="I179" s="417">
        <f t="shared" si="4"/>
        <v>15214.663629759998</v>
      </c>
      <c r="J179" s="356">
        <v>37.95</v>
      </c>
      <c r="K179" s="356"/>
      <c r="L179" s="356"/>
      <c r="M179" s="356"/>
      <c r="N179" s="356"/>
      <c r="O179" s="356"/>
      <c r="P179" s="356"/>
      <c r="Q179" s="356"/>
      <c r="R179" s="356"/>
      <c r="S179" s="356"/>
      <c r="T179" s="356"/>
      <c r="U179" s="356"/>
      <c r="V179" s="356"/>
      <c r="W179" s="356"/>
      <c r="X179" s="356"/>
      <c r="Y179" s="356"/>
      <c r="Z179" s="356"/>
      <c r="AA179" s="356"/>
      <c r="AB179" s="356"/>
      <c r="AC179" s="356"/>
      <c r="AD179" s="356"/>
      <c r="AE179" s="356"/>
      <c r="AF179" s="356"/>
      <c r="AG179" s="356"/>
      <c r="AH179" s="356"/>
      <c r="AI179" s="356"/>
      <c r="AJ179" s="356"/>
      <c r="AK179" s="356"/>
      <c r="AL179" s="356"/>
      <c r="AM179" s="356"/>
      <c r="AN179" s="356"/>
      <c r="AO179" s="356"/>
      <c r="AP179" s="356"/>
      <c r="AQ179" s="356"/>
      <c r="AR179" s="356"/>
      <c r="AS179" s="356"/>
      <c r="AT179" s="356"/>
      <c r="AU179" s="356"/>
      <c r="AV179" s="356"/>
      <c r="AW179" s="356"/>
      <c r="AX179" s="356"/>
      <c r="AY179" s="356"/>
      <c r="AZ179" s="356"/>
      <c r="BA179" s="356"/>
      <c r="BB179" s="356"/>
      <c r="BC179" s="356"/>
      <c r="BD179" s="356"/>
      <c r="BE179" s="356"/>
      <c r="BF179" s="356"/>
      <c r="BG179" s="356"/>
      <c r="BH179" s="356"/>
      <c r="BI179" s="356"/>
      <c r="BJ179" s="356"/>
      <c r="BK179" s="356"/>
      <c r="BL179" s="356"/>
      <c r="BM179" s="356"/>
      <c r="BN179" s="356"/>
      <c r="BO179" s="356"/>
      <c r="BP179" s="356"/>
      <c r="BQ179" s="356"/>
      <c r="BR179" s="356"/>
      <c r="BS179" s="356"/>
      <c r="BT179" s="356"/>
      <c r="BU179" s="356"/>
      <c r="BV179" s="356"/>
      <c r="BW179" s="356"/>
      <c r="BX179" s="356"/>
      <c r="BY179" s="356"/>
      <c r="BZ179" s="356"/>
      <c r="CA179" s="356"/>
      <c r="CB179" s="356"/>
      <c r="CC179" s="356"/>
      <c r="CD179" s="356"/>
      <c r="CE179" s="356"/>
      <c r="CF179" s="356"/>
      <c r="CG179" s="356"/>
      <c r="CH179" s="356"/>
      <c r="CI179" s="356"/>
      <c r="CJ179" s="356"/>
      <c r="CK179" s="356"/>
      <c r="CL179" s="356"/>
      <c r="CM179" s="356"/>
      <c r="CN179" s="356"/>
      <c r="CO179" s="356"/>
      <c r="CP179" s="356"/>
      <c r="CQ179" s="356"/>
      <c r="CR179" s="356"/>
      <c r="CS179" s="356"/>
      <c r="CT179" s="356"/>
      <c r="CU179" s="356"/>
      <c r="CV179" s="356"/>
      <c r="CW179" s="356"/>
      <c r="CX179" s="356"/>
      <c r="CY179" s="356"/>
      <c r="CZ179" s="356"/>
      <c r="DA179" s="356"/>
      <c r="DB179" s="356"/>
      <c r="DC179" s="356"/>
      <c r="DD179" s="356"/>
      <c r="DE179" s="356"/>
      <c r="DF179" s="356"/>
      <c r="DG179" s="356"/>
      <c r="DH179" s="356"/>
      <c r="DI179" s="356"/>
      <c r="DJ179" s="356"/>
      <c r="DK179" s="356"/>
      <c r="DL179" s="356"/>
      <c r="DM179" s="356"/>
      <c r="DN179" s="356"/>
      <c r="DO179" s="356"/>
      <c r="DP179" s="356"/>
      <c r="DQ179" s="356"/>
      <c r="DR179" s="356"/>
      <c r="DS179" s="356"/>
      <c r="DT179" s="356"/>
      <c r="DU179" s="356"/>
      <c r="DV179" s="356"/>
      <c r="DW179" s="356"/>
      <c r="DX179" s="356"/>
      <c r="DY179" s="356"/>
      <c r="DZ179" s="356"/>
      <c r="EA179" s="356"/>
      <c r="EB179" s="356"/>
      <c r="EC179" s="356"/>
      <c r="ED179" s="356"/>
      <c r="EE179" s="356"/>
      <c r="EF179" s="356"/>
      <c r="EG179" s="356"/>
      <c r="EH179" s="356"/>
      <c r="EI179" s="356"/>
      <c r="EJ179" s="356"/>
      <c r="EK179" s="356"/>
      <c r="EL179" s="356"/>
      <c r="EM179" s="356"/>
      <c r="EN179" s="356"/>
      <c r="EO179" s="356"/>
      <c r="EP179" s="356"/>
      <c r="EQ179" s="356"/>
      <c r="ER179" s="356"/>
      <c r="ES179" s="356"/>
      <c r="ET179" s="356"/>
      <c r="EU179" s="356"/>
      <c r="EV179" s="356"/>
      <c r="EW179" s="356"/>
      <c r="EX179" s="356"/>
      <c r="EY179" s="356"/>
      <c r="EZ179" s="356"/>
      <c r="FA179" s="356"/>
      <c r="FB179" s="356"/>
      <c r="FC179" s="356"/>
      <c r="FD179" s="356"/>
      <c r="FE179" s="356"/>
      <c r="FF179" s="356"/>
      <c r="FG179" s="356"/>
      <c r="FH179" s="356"/>
      <c r="FI179" s="356"/>
      <c r="FJ179" s="356"/>
      <c r="FK179" s="356"/>
      <c r="FL179" s="356"/>
      <c r="FM179" s="356"/>
      <c r="FN179" s="356"/>
      <c r="FO179" s="356"/>
      <c r="FP179" s="356"/>
      <c r="FQ179" s="356"/>
      <c r="FR179" s="356"/>
      <c r="FS179" s="356"/>
      <c r="FT179" s="356"/>
      <c r="FU179" s="356"/>
      <c r="FV179" s="356"/>
      <c r="FW179" s="356"/>
      <c r="FX179" s="356"/>
      <c r="FY179" s="356"/>
      <c r="FZ179" s="356"/>
      <c r="GA179" s="356"/>
      <c r="GB179" s="356"/>
      <c r="GC179" s="356"/>
      <c r="GD179" s="356"/>
      <c r="GE179" s="356"/>
      <c r="GF179" s="356"/>
      <c r="GG179" s="356"/>
      <c r="GH179" s="356"/>
      <c r="GI179" s="356"/>
      <c r="GJ179" s="356"/>
      <c r="GK179" s="356"/>
      <c r="GL179" s="356"/>
      <c r="GM179" s="356"/>
      <c r="GN179" s="356"/>
      <c r="GO179" s="356"/>
      <c r="GP179" s="356"/>
      <c r="GQ179" s="356"/>
      <c r="GR179" s="356"/>
      <c r="GS179" s="356"/>
      <c r="GT179" s="356"/>
      <c r="GU179" s="356"/>
      <c r="GV179" s="356"/>
      <c r="GW179" s="356"/>
      <c r="GX179" s="356"/>
      <c r="GY179" s="356"/>
      <c r="GZ179" s="356"/>
      <c r="HA179" s="356"/>
      <c r="HB179" s="356"/>
      <c r="HC179" s="356"/>
      <c r="HD179" s="356"/>
      <c r="HE179" s="356"/>
      <c r="HF179" s="356"/>
      <c r="HG179" s="356"/>
      <c r="HH179" s="356"/>
      <c r="HI179" s="356"/>
      <c r="HJ179" s="356"/>
      <c r="HK179" s="356"/>
      <c r="HL179" s="356"/>
      <c r="HM179" s="356"/>
      <c r="HN179" s="356"/>
      <c r="HO179" s="356"/>
      <c r="HP179" s="356"/>
      <c r="HQ179" s="356"/>
      <c r="HR179" s="356"/>
      <c r="HS179" s="356"/>
      <c r="HT179" s="356"/>
      <c r="HU179" s="356"/>
      <c r="HV179" s="356"/>
      <c r="HW179" s="356"/>
      <c r="HX179" s="356"/>
      <c r="HY179" s="356"/>
      <c r="HZ179" s="356"/>
      <c r="IA179" s="356"/>
      <c r="IB179" s="356"/>
      <c r="IC179" s="356"/>
      <c r="ID179" s="356"/>
      <c r="IE179" s="356"/>
      <c r="IF179" s="356"/>
      <c r="IG179" s="356"/>
      <c r="IH179" s="356"/>
      <c r="II179" s="356"/>
      <c r="IJ179" s="356"/>
      <c r="IK179" s="356"/>
      <c r="IL179" s="356"/>
      <c r="IM179" s="356"/>
      <c r="IN179" s="356"/>
      <c r="IO179" s="356"/>
      <c r="IP179" s="356"/>
      <c r="IQ179" s="356"/>
      <c r="IR179" s="356"/>
      <c r="IS179" s="356"/>
      <c r="IT179" s="356"/>
      <c r="IU179" s="356"/>
      <c r="IV179" s="356"/>
    </row>
    <row r="180" spans="2:10" s="376" customFormat="1" ht="26.25" thickBot="1">
      <c r="B180" s="640" t="s">
        <v>364</v>
      </c>
      <c r="C180" s="425" t="s">
        <v>356</v>
      </c>
      <c r="D180" s="454" t="s">
        <v>357</v>
      </c>
      <c r="E180" s="456" t="s">
        <v>26</v>
      </c>
      <c r="F180" s="457">
        <v>35.96</v>
      </c>
      <c r="G180" s="592">
        <v>28.27</v>
      </c>
      <c r="H180" s="491">
        <f>'ADITIVO - PLANILHA ORÇAMETARIA '!G180*'ADITIVO - PLANILHA ORÇAMETARIA '!F180</f>
        <v>1016.5892</v>
      </c>
      <c r="I180" s="620">
        <f t="shared" si="4"/>
        <v>1279.47916712</v>
      </c>
      <c r="J180" s="376">
        <v>28.08</v>
      </c>
    </row>
    <row r="181" spans="2:9" ht="12.75" customHeight="1" thickBot="1">
      <c r="B181" s="613"/>
      <c r="C181" s="225"/>
      <c r="D181" s="225"/>
      <c r="E181" s="226"/>
      <c r="F181" s="225"/>
      <c r="G181" s="227"/>
      <c r="H181" s="478"/>
      <c r="I181" s="636"/>
    </row>
    <row r="182" spans="2:9" ht="12.75" customHeight="1">
      <c r="B182" s="637" t="s">
        <v>388</v>
      </c>
      <c r="C182" s="222"/>
      <c r="D182" s="220" t="s">
        <v>359</v>
      </c>
      <c r="E182" s="221"/>
      <c r="F182" s="222"/>
      <c r="G182" s="222"/>
      <c r="H182" s="489">
        <f>H183+H191</f>
        <v>22930.96</v>
      </c>
      <c r="I182" s="638">
        <f t="shared" si="4"/>
        <v>28860.906256</v>
      </c>
    </row>
    <row r="183" spans="2:9" s="271" customFormat="1" ht="12.75" customHeight="1">
      <c r="B183" s="639" t="s">
        <v>390</v>
      </c>
      <c r="C183" s="239"/>
      <c r="D183" s="237" t="s">
        <v>328</v>
      </c>
      <c r="E183" s="238"/>
      <c r="F183" s="239"/>
      <c r="G183" s="239"/>
      <c r="H183" s="476">
        <f>ROUND(SUM(H184:H190),2)</f>
        <v>12676.47</v>
      </c>
      <c r="I183" s="643">
        <f t="shared" si="4"/>
        <v>15954.605141999999</v>
      </c>
    </row>
    <row r="184" spans="1:256" s="357" customFormat="1" ht="12.75" customHeight="1">
      <c r="A184" s="356"/>
      <c r="B184" s="635" t="s">
        <v>1716</v>
      </c>
      <c r="C184" s="413" t="s">
        <v>362</v>
      </c>
      <c r="D184" s="414" t="s">
        <v>363</v>
      </c>
      <c r="E184" s="430" t="s">
        <v>133</v>
      </c>
      <c r="F184" s="431">
        <v>18.44</v>
      </c>
      <c r="G184" s="432">
        <v>556.69</v>
      </c>
      <c r="H184" s="480">
        <f>'ADITIVO - PLANILHA ORÇAMETARIA '!F184*'ADITIVO - PLANILHA ORÇAMETARIA '!G184</f>
        <v>10265.363600000002</v>
      </c>
      <c r="I184" s="417">
        <f t="shared" si="4"/>
        <v>12919.986626960002</v>
      </c>
      <c r="J184" s="356">
        <v>553.26</v>
      </c>
      <c r="K184" s="356"/>
      <c r="L184" s="356"/>
      <c r="M184" s="356"/>
      <c r="N184" s="356"/>
      <c r="O184" s="356"/>
      <c r="P184" s="356"/>
      <c r="Q184" s="356"/>
      <c r="R184" s="356"/>
      <c r="S184" s="356"/>
      <c r="T184" s="356"/>
      <c r="U184" s="356"/>
      <c r="V184" s="356"/>
      <c r="W184" s="356"/>
      <c r="X184" s="356"/>
      <c r="Y184" s="356"/>
      <c r="Z184" s="356"/>
      <c r="AA184" s="356"/>
      <c r="AB184" s="356"/>
      <c r="AC184" s="356"/>
      <c r="AD184" s="356"/>
      <c r="AE184" s="356"/>
      <c r="AF184" s="356"/>
      <c r="AG184" s="356"/>
      <c r="AH184" s="356"/>
      <c r="AI184" s="356"/>
      <c r="AJ184" s="356"/>
      <c r="AK184" s="356"/>
      <c r="AL184" s="356"/>
      <c r="AM184" s="356"/>
      <c r="AN184" s="356"/>
      <c r="AO184" s="356"/>
      <c r="AP184" s="356"/>
      <c r="AQ184" s="356"/>
      <c r="AR184" s="356"/>
      <c r="AS184" s="356"/>
      <c r="AT184" s="356"/>
      <c r="AU184" s="356"/>
      <c r="AV184" s="356"/>
      <c r="AW184" s="356"/>
      <c r="AX184" s="356"/>
      <c r="AY184" s="356"/>
      <c r="AZ184" s="356"/>
      <c r="BA184" s="356"/>
      <c r="BB184" s="356"/>
      <c r="BC184" s="356"/>
      <c r="BD184" s="356"/>
      <c r="BE184" s="356"/>
      <c r="BF184" s="356"/>
      <c r="BG184" s="356"/>
      <c r="BH184" s="356"/>
      <c r="BI184" s="356"/>
      <c r="BJ184" s="356"/>
      <c r="BK184" s="356"/>
      <c r="BL184" s="356"/>
      <c r="BM184" s="356"/>
      <c r="BN184" s="356"/>
      <c r="BO184" s="356"/>
      <c r="BP184" s="356"/>
      <c r="BQ184" s="356"/>
      <c r="BR184" s="356"/>
      <c r="BS184" s="356"/>
      <c r="BT184" s="356"/>
      <c r="BU184" s="356"/>
      <c r="BV184" s="356"/>
      <c r="BW184" s="356"/>
      <c r="BX184" s="356"/>
      <c r="BY184" s="356"/>
      <c r="BZ184" s="356"/>
      <c r="CA184" s="356"/>
      <c r="CB184" s="356"/>
      <c r="CC184" s="356"/>
      <c r="CD184" s="356"/>
      <c r="CE184" s="356"/>
      <c r="CF184" s="356"/>
      <c r="CG184" s="356"/>
      <c r="CH184" s="356"/>
      <c r="CI184" s="356"/>
      <c r="CJ184" s="356"/>
      <c r="CK184" s="356"/>
      <c r="CL184" s="356"/>
      <c r="CM184" s="356"/>
      <c r="CN184" s="356"/>
      <c r="CO184" s="356"/>
      <c r="CP184" s="356"/>
      <c r="CQ184" s="356"/>
      <c r="CR184" s="356"/>
      <c r="CS184" s="356"/>
      <c r="CT184" s="356"/>
      <c r="CU184" s="356"/>
      <c r="CV184" s="356"/>
      <c r="CW184" s="356"/>
      <c r="CX184" s="356"/>
      <c r="CY184" s="356"/>
      <c r="CZ184" s="356"/>
      <c r="DA184" s="356"/>
      <c r="DB184" s="356"/>
      <c r="DC184" s="356"/>
      <c r="DD184" s="356"/>
      <c r="DE184" s="356"/>
      <c r="DF184" s="356"/>
      <c r="DG184" s="356"/>
      <c r="DH184" s="356"/>
      <c r="DI184" s="356"/>
      <c r="DJ184" s="356"/>
      <c r="DK184" s="356"/>
      <c r="DL184" s="356"/>
      <c r="DM184" s="356"/>
      <c r="DN184" s="356"/>
      <c r="DO184" s="356"/>
      <c r="DP184" s="356"/>
      <c r="DQ184" s="356"/>
      <c r="DR184" s="356"/>
      <c r="DS184" s="356"/>
      <c r="DT184" s="356"/>
      <c r="DU184" s="356"/>
      <c r="DV184" s="356"/>
      <c r="DW184" s="356"/>
      <c r="DX184" s="356"/>
      <c r="DY184" s="356"/>
      <c r="DZ184" s="356"/>
      <c r="EA184" s="356"/>
      <c r="EB184" s="356"/>
      <c r="EC184" s="356"/>
      <c r="ED184" s="356"/>
      <c r="EE184" s="356"/>
      <c r="EF184" s="356"/>
      <c r="EG184" s="356"/>
      <c r="EH184" s="356"/>
      <c r="EI184" s="356"/>
      <c r="EJ184" s="356"/>
      <c r="EK184" s="356"/>
      <c r="EL184" s="356"/>
      <c r="EM184" s="356"/>
      <c r="EN184" s="356"/>
      <c r="EO184" s="356"/>
      <c r="EP184" s="356"/>
      <c r="EQ184" s="356"/>
      <c r="ER184" s="356"/>
      <c r="ES184" s="356"/>
      <c r="ET184" s="356"/>
      <c r="EU184" s="356"/>
      <c r="EV184" s="356"/>
      <c r="EW184" s="356"/>
      <c r="EX184" s="356"/>
      <c r="EY184" s="356"/>
      <c r="EZ184" s="356"/>
      <c r="FA184" s="356"/>
      <c r="FB184" s="356"/>
      <c r="FC184" s="356"/>
      <c r="FD184" s="356"/>
      <c r="FE184" s="356"/>
      <c r="FF184" s="356"/>
      <c r="FG184" s="356"/>
      <c r="FH184" s="356"/>
      <c r="FI184" s="356"/>
      <c r="FJ184" s="356"/>
      <c r="FK184" s="356"/>
      <c r="FL184" s="356"/>
      <c r="FM184" s="356"/>
      <c r="FN184" s="356"/>
      <c r="FO184" s="356"/>
      <c r="FP184" s="356"/>
      <c r="FQ184" s="356"/>
      <c r="FR184" s="356"/>
      <c r="FS184" s="356"/>
      <c r="FT184" s="356"/>
      <c r="FU184" s="356"/>
      <c r="FV184" s="356"/>
      <c r="FW184" s="356"/>
      <c r="FX184" s="356"/>
      <c r="FY184" s="356"/>
      <c r="FZ184" s="356"/>
      <c r="GA184" s="356"/>
      <c r="GB184" s="356"/>
      <c r="GC184" s="356"/>
      <c r="GD184" s="356"/>
      <c r="GE184" s="356"/>
      <c r="GF184" s="356"/>
      <c r="GG184" s="356"/>
      <c r="GH184" s="356"/>
      <c r="GI184" s="356"/>
      <c r="GJ184" s="356"/>
      <c r="GK184" s="356"/>
      <c r="GL184" s="356"/>
      <c r="GM184" s="356"/>
      <c r="GN184" s="356"/>
      <c r="GO184" s="356"/>
      <c r="GP184" s="356"/>
      <c r="GQ184" s="356"/>
      <c r="GR184" s="356"/>
      <c r="GS184" s="356"/>
      <c r="GT184" s="356"/>
      <c r="GU184" s="356"/>
      <c r="GV184" s="356"/>
      <c r="GW184" s="356"/>
      <c r="GX184" s="356"/>
      <c r="GY184" s="356"/>
      <c r="GZ184" s="356"/>
      <c r="HA184" s="356"/>
      <c r="HB184" s="356"/>
      <c r="HC184" s="356"/>
      <c r="HD184" s="356"/>
      <c r="HE184" s="356"/>
      <c r="HF184" s="356"/>
      <c r="HG184" s="356"/>
      <c r="HH184" s="356"/>
      <c r="HI184" s="356"/>
      <c r="HJ184" s="356"/>
      <c r="HK184" s="356"/>
      <c r="HL184" s="356"/>
      <c r="HM184" s="356"/>
      <c r="HN184" s="356"/>
      <c r="HO184" s="356"/>
      <c r="HP184" s="356"/>
      <c r="HQ184" s="356"/>
      <c r="HR184" s="356"/>
      <c r="HS184" s="356"/>
      <c r="HT184" s="356"/>
      <c r="HU184" s="356"/>
      <c r="HV184" s="356"/>
      <c r="HW184" s="356"/>
      <c r="HX184" s="356"/>
      <c r="HY184" s="356"/>
      <c r="HZ184" s="356"/>
      <c r="IA184" s="356"/>
      <c r="IB184" s="356"/>
      <c r="IC184" s="356"/>
      <c r="ID184" s="356"/>
      <c r="IE184" s="356"/>
      <c r="IF184" s="356"/>
      <c r="IG184" s="356"/>
      <c r="IH184" s="356"/>
      <c r="II184" s="356"/>
      <c r="IJ184" s="356"/>
      <c r="IK184" s="356"/>
      <c r="IL184" s="356"/>
      <c r="IM184" s="356"/>
      <c r="IN184" s="356"/>
      <c r="IO184" s="356"/>
      <c r="IP184" s="356"/>
      <c r="IQ184" s="356"/>
      <c r="IR184" s="356"/>
      <c r="IS184" s="356"/>
      <c r="IT184" s="356"/>
      <c r="IU184" s="356"/>
      <c r="IV184" s="356"/>
    </row>
    <row r="185" spans="1:256" s="357" customFormat="1" ht="12.75" customHeight="1">
      <c r="A185" s="356"/>
      <c r="B185" s="635" t="s">
        <v>1717</v>
      </c>
      <c r="C185" s="414" t="s">
        <v>365</v>
      </c>
      <c r="D185" s="414" t="s">
        <v>366</v>
      </c>
      <c r="E185" s="430" t="s">
        <v>26</v>
      </c>
      <c r="F185" s="431">
        <v>301.01</v>
      </c>
      <c r="G185" s="432">
        <v>1.24</v>
      </c>
      <c r="H185" s="480">
        <f>'ADITIVO - PLANILHA ORÇAMETARIA '!F185*'ADITIVO - PLANILHA ORÇAMETARIA '!G185</f>
        <v>373.25239999999997</v>
      </c>
      <c r="I185" s="417">
        <f t="shared" si="4"/>
        <v>469.7754706399999</v>
      </c>
      <c r="J185" s="356">
        <v>1.37</v>
      </c>
      <c r="K185" s="356"/>
      <c r="L185" s="356"/>
      <c r="M185" s="356"/>
      <c r="N185" s="356"/>
      <c r="O185" s="356"/>
      <c r="P185" s="356"/>
      <c r="Q185" s="356"/>
      <c r="R185" s="356"/>
      <c r="S185" s="356"/>
      <c r="T185" s="356"/>
      <c r="U185" s="356"/>
      <c r="V185" s="356"/>
      <c r="W185" s="356"/>
      <c r="X185" s="356"/>
      <c r="Y185" s="356"/>
      <c r="Z185" s="356"/>
      <c r="AA185" s="356"/>
      <c r="AB185" s="356"/>
      <c r="AC185" s="356"/>
      <c r="AD185" s="356"/>
      <c r="AE185" s="356"/>
      <c r="AF185" s="356"/>
      <c r="AG185" s="356"/>
      <c r="AH185" s="356"/>
      <c r="AI185" s="356"/>
      <c r="AJ185" s="356"/>
      <c r="AK185" s="356"/>
      <c r="AL185" s="356"/>
      <c r="AM185" s="356"/>
      <c r="AN185" s="356"/>
      <c r="AO185" s="356"/>
      <c r="AP185" s="356"/>
      <c r="AQ185" s="356"/>
      <c r="AR185" s="356"/>
      <c r="AS185" s="356"/>
      <c r="AT185" s="356"/>
      <c r="AU185" s="356"/>
      <c r="AV185" s="356"/>
      <c r="AW185" s="356"/>
      <c r="AX185" s="356"/>
      <c r="AY185" s="356"/>
      <c r="AZ185" s="356"/>
      <c r="BA185" s="356"/>
      <c r="BB185" s="356"/>
      <c r="BC185" s="356"/>
      <c r="BD185" s="356"/>
      <c r="BE185" s="356"/>
      <c r="BF185" s="356"/>
      <c r="BG185" s="356"/>
      <c r="BH185" s="356"/>
      <c r="BI185" s="356"/>
      <c r="BJ185" s="356"/>
      <c r="BK185" s="356"/>
      <c r="BL185" s="356"/>
      <c r="BM185" s="356"/>
      <c r="BN185" s="356"/>
      <c r="BO185" s="356"/>
      <c r="BP185" s="356"/>
      <c r="BQ185" s="356"/>
      <c r="BR185" s="356"/>
      <c r="BS185" s="356"/>
      <c r="BT185" s="356"/>
      <c r="BU185" s="356"/>
      <c r="BV185" s="356"/>
      <c r="BW185" s="356"/>
      <c r="BX185" s="356"/>
      <c r="BY185" s="356"/>
      <c r="BZ185" s="356"/>
      <c r="CA185" s="356"/>
      <c r="CB185" s="356"/>
      <c r="CC185" s="356"/>
      <c r="CD185" s="356"/>
      <c r="CE185" s="356"/>
      <c r="CF185" s="356"/>
      <c r="CG185" s="356"/>
      <c r="CH185" s="356"/>
      <c r="CI185" s="356"/>
      <c r="CJ185" s="356"/>
      <c r="CK185" s="356"/>
      <c r="CL185" s="356"/>
      <c r="CM185" s="356"/>
      <c r="CN185" s="356"/>
      <c r="CO185" s="356"/>
      <c r="CP185" s="356"/>
      <c r="CQ185" s="356"/>
      <c r="CR185" s="356"/>
      <c r="CS185" s="356"/>
      <c r="CT185" s="356"/>
      <c r="CU185" s="356"/>
      <c r="CV185" s="356"/>
      <c r="CW185" s="356"/>
      <c r="CX185" s="356"/>
      <c r="CY185" s="356"/>
      <c r="CZ185" s="356"/>
      <c r="DA185" s="356"/>
      <c r="DB185" s="356"/>
      <c r="DC185" s="356"/>
      <c r="DD185" s="356"/>
      <c r="DE185" s="356"/>
      <c r="DF185" s="356"/>
      <c r="DG185" s="356"/>
      <c r="DH185" s="356"/>
      <c r="DI185" s="356"/>
      <c r="DJ185" s="356"/>
      <c r="DK185" s="356"/>
      <c r="DL185" s="356"/>
      <c r="DM185" s="356"/>
      <c r="DN185" s="356"/>
      <c r="DO185" s="356"/>
      <c r="DP185" s="356"/>
      <c r="DQ185" s="356"/>
      <c r="DR185" s="356"/>
      <c r="DS185" s="356"/>
      <c r="DT185" s="356"/>
      <c r="DU185" s="356"/>
      <c r="DV185" s="356"/>
      <c r="DW185" s="356"/>
      <c r="DX185" s="356"/>
      <c r="DY185" s="356"/>
      <c r="DZ185" s="356"/>
      <c r="EA185" s="356"/>
      <c r="EB185" s="356"/>
      <c r="EC185" s="356"/>
      <c r="ED185" s="356"/>
      <c r="EE185" s="356"/>
      <c r="EF185" s="356"/>
      <c r="EG185" s="356"/>
      <c r="EH185" s="356"/>
      <c r="EI185" s="356"/>
      <c r="EJ185" s="356"/>
      <c r="EK185" s="356"/>
      <c r="EL185" s="356"/>
      <c r="EM185" s="356"/>
      <c r="EN185" s="356"/>
      <c r="EO185" s="356"/>
      <c r="EP185" s="356"/>
      <c r="EQ185" s="356"/>
      <c r="ER185" s="356"/>
      <c r="ES185" s="356"/>
      <c r="ET185" s="356"/>
      <c r="EU185" s="356"/>
      <c r="EV185" s="356"/>
      <c r="EW185" s="356"/>
      <c r="EX185" s="356"/>
      <c r="EY185" s="356"/>
      <c r="EZ185" s="356"/>
      <c r="FA185" s="356"/>
      <c r="FB185" s="356"/>
      <c r="FC185" s="356"/>
      <c r="FD185" s="356"/>
      <c r="FE185" s="356"/>
      <c r="FF185" s="356"/>
      <c r="FG185" s="356"/>
      <c r="FH185" s="356"/>
      <c r="FI185" s="356"/>
      <c r="FJ185" s="356"/>
      <c r="FK185" s="356"/>
      <c r="FL185" s="356"/>
      <c r="FM185" s="356"/>
      <c r="FN185" s="356"/>
      <c r="FO185" s="356"/>
      <c r="FP185" s="356"/>
      <c r="FQ185" s="356"/>
      <c r="FR185" s="356"/>
      <c r="FS185" s="356"/>
      <c r="FT185" s="356"/>
      <c r="FU185" s="356"/>
      <c r="FV185" s="356"/>
      <c r="FW185" s="356"/>
      <c r="FX185" s="356"/>
      <c r="FY185" s="356"/>
      <c r="FZ185" s="356"/>
      <c r="GA185" s="356"/>
      <c r="GB185" s="356"/>
      <c r="GC185" s="356"/>
      <c r="GD185" s="356"/>
      <c r="GE185" s="356"/>
      <c r="GF185" s="356"/>
      <c r="GG185" s="356"/>
      <c r="GH185" s="356"/>
      <c r="GI185" s="356"/>
      <c r="GJ185" s="356"/>
      <c r="GK185" s="356"/>
      <c r="GL185" s="356"/>
      <c r="GM185" s="356"/>
      <c r="GN185" s="356"/>
      <c r="GO185" s="356"/>
      <c r="GP185" s="356"/>
      <c r="GQ185" s="356"/>
      <c r="GR185" s="356"/>
      <c r="GS185" s="356"/>
      <c r="GT185" s="356"/>
      <c r="GU185" s="356"/>
      <c r="GV185" s="356"/>
      <c r="GW185" s="356"/>
      <c r="GX185" s="356"/>
      <c r="GY185" s="356"/>
      <c r="GZ185" s="356"/>
      <c r="HA185" s="356"/>
      <c r="HB185" s="356"/>
      <c r="HC185" s="356"/>
      <c r="HD185" s="356"/>
      <c r="HE185" s="356"/>
      <c r="HF185" s="356"/>
      <c r="HG185" s="356"/>
      <c r="HH185" s="356"/>
      <c r="HI185" s="356"/>
      <c r="HJ185" s="356"/>
      <c r="HK185" s="356"/>
      <c r="HL185" s="356"/>
      <c r="HM185" s="356"/>
      <c r="HN185" s="356"/>
      <c r="HO185" s="356"/>
      <c r="HP185" s="356"/>
      <c r="HQ185" s="356"/>
      <c r="HR185" s="356"/>
      <c r="HS185" s="356"/>
      <c r="HT185" s="356"/>
      <c r="HU185" s="356"/>
      <c r="HV185" s="356"/>
      <c r="HW185" s="356"/>
      <c r="HX185" s="356"/>
      <c r="HY185" s="356"/>
      <c r="HZ185" s="356"/>
      <c r="IA185" s="356"/>
      <c r="IB185" s="356"/>
      <c r="IC185" s="356"/>
      <c r="ID185" s="356"/>
      <c r="IE185" s="356"/>
      <c r="IF185" s="356"/>
      <c r="IG185" s="356"/>
      <c r="IH185" s="356"/>
      <c r="II185" s="356"/>
      <c r="IJ185" s="356"/>
      <c r="IK185" s="356"/>
      <c r="IL185" s="356"/>
      <c r="IM185" s="356"/>
      <c r="IN185" s="356"/>
      <c r="IO185" s="356"/>
      <c r="IP185" s="356"/>
      <c r="IQ185" s="356"/>
      <c r="IR185" s="356"/>
      <c r="IS185" s="356"/>
      <c r="IT185" s="356"/>
      <c r="IU185" s="356"/>
      <c r="IV185" s="356"/>
    </row>
    <row r="186" spans="1:256" s="357" customFormat="1" ht="12.75" customHeight="1">
      <c r="A186" s="356"/>
      <c r="B186" s="635" t="s">
        <v>1718</v>
      </c>
      <c r="C186" s="413" t="s">
        <v>367</v>
      </c>
      <c r="D186" s="414" t="s">
        <v>139</v>
      </c>
      <c r="E186" s="430" t="s">
        <v>26</v>
      </c>
      <c r="F186" s="431">
        <v>3.51</v>
      </c>
      <c r="G186" s="432">
        <v>177.52</v>
      </c>
      <c r="H186" s="480">
        <f>'ADITIVO - PLANILHA ORÇAMETARIA '!F186*'ADITIVO - PLANILHA ORÇAMETARIA '!G186</f>
        <v>623.0952</v>
      </c>
      <c r="I186" s="417">
        <f t="shared" si="4"/>
        <v>784.2276187199999</v>
      </c>
      <c r="J186" s="356">
        <v>174.71</v>
      </c>
      <c r="K186" s="356"/>
      <c r="L186" s="356"/>
      <c r="M186" s="356"/>
      <c r="N186" s="356"/>
      <c r="O186" s="356"/>
      <c r="P186" s="356"/>
      <c r="Q186" s="356"/>
      <c r="R186" s="356"/>
      <c r="S186" s="356"/>
      <c r="T186" s="356"/>
      <c r="U186" s="356"/>
      <c r="V186" s="356"/>
      <c r="W186" s="356"/>
      <c r="X186" s="356"/>
      <c r="Y186" s="356"/>
      <c r="Z186" s="356"/>
      <c r="AA186" s="356"/>
      <c r="AB186" s="356"/>
      <c r="AC186" s="356"/>
      <c r="AD186" s="356"/>
      <c r="AE186" s="356"/>
      <c r="AF186" s="356"/>
      <c r="AG186" s="356"/>
      <c r="AH186" s="356"/>
      <c r="AI186" s="356"/>
      <c r="AJ186" s="356"/>
      <c r="AK186" s="356"/>
      <c r="AL186" s="356"/>
      <c r="AM186" s="356"/>
      <c r="AN186" s="356"/>
      <c r="AO186" s="356"/>
      <c r="AP186" s="356"/>
      <c r="AQ186" s="356"/>
      <c r="AR186" s="356"/>
      <c r="AS186" s="356"/>
      <c r="AT186" s="356"/>
      <c r="AU186" s="356"/>
      <c r="AV186" s="356"/>
      <c r="AW186" s="356"/>
      <c r="AX186" s="356"/>
      <c r="AY186" s="356"/>
      <c r="AZ186" s="356"/>
      <c r="BA186" s="356"/>
      <c r="BB186" s="356"/>
      <c r="BC186" s="356"/>
      <c r="BD186" s="356"/>
      <c r="BE186" s="356"/>
      <c r="BF186" s="356"/>
      <c r="BG186" s="356"/>
      <c r="BH186" s="356"/>
      <c r="BI186" s="356"/>
      <c r="BJ186" s="356"/>
      <c r="BK186" s="356"/>
      <c r="BL186" s="356"/>
      <c r="BM186" s="356"/>
      <c r="BN186" s="356"/>
      <c r="BO186" s="356"/>
      <c r="BP186" s="356"/>
      <c r="BQ186" s="356"/>
      <c r="BR186" s="356"/>
      <c r="BS186" s="356"/>
      <c r="BT186" s="356"/>
      <c r="BU186" s="356"/>
      <c r="BV186" s="356"/>
      <c r="BW186" s="356"/>
      <c r="BX186" s="356"/>
      <c r="BY186" s="356"/>
      <c r="BZ186" s="356"/>
      <c r="CA186" s="356"/>
      <c r="CB186" s="356"/>
      <c r="CC186" s="356"/>
      <c r="CD186" s="356"/>
      <c r="CE186" s="356"/>
      <c r="CF186" s="356"/>
      <c r="CG186" s="356"/>
      <c r="CH186" s="356"/>
      <c r="CI186" s="356"/>
      <c r="CJ186" s="356"/>
      <c r="CK186" s="356"/>
      <c r="CL186" s="356"/>
      <c r="CM186" s="356"/>
      <c r="CN186" s="356"/>
      <c r="CO186" s="356"/>
      <c r="CP186" s="356"/>
      <c r="CQ186" s="356"/>
      <c r="CR186" s="356"/>
      <c r="CS186" s="356"/>
      <c r="CT186" s="356"/>
      <c r="CU186" s="356"/>
      <c r="CV186" s="356"/>
      <c r="CW186" s="356"/>
      <c r="CX186" s="356"/>
      <c r="CY186" s="356"/>
      <c r="CZ186" s="356"/>
      <c r="DA186" s="356"/>
      <c r="DB186" s="356"/>
      <c r="DC186" s="356"/>
      <c r="DD186" s="356"/>
      <c r="DE186" s="356"/>
      <c r="DF186" s="356"/>
      <c r="DG186" s="356"/>
      <c r="DH186" s="356"/>
      <c r="DI186" s="356"/>
      <c r="DJ186" s="356"/>
      <c r="DK186" s="356"/>
      <c r="DL186" s="356"/>
      <c r="DM186" s="356"/>
      <c r="DN186" s="356"/>
      <c r="DO186" s="356"/>
      <c r="DP186" s="356"/>
      <c r="DQ186" s="356"/>
      <c r="DR186" s="356"/>
      <c r="DS186" s="356"/>
      <c r="DT186" s="356"/>
      <c r="DU186" s="356"/>
      <c r="DV186" s="356"/>
      <c r="DW186" s="356"/>
      <c r="DX186" s="356"/>
      <c r="DY186" s="356"/>
      <c r="DZ186" s="356"/>
      <c r="EA186" s="356"/>
      <c r="EB186" s="356"/>
      <c r="EC186" s="356"/>
      <c r="ED186" s="356"/>
      <c r="EE186" s="356"/>
      <c r="EF186" s="356"/>
      <c r="EG186" s="356"/>
      <c r="EH186" s="356"/>
      <c r="EI186" s="356"/>
      <c r="EJ186" s="356"/>
      <c r="EK186" s="356"/>
      <c r="EL186" s="356"/>
      <c r="EM186" s="356"/>
      <c r="EN186" s="356"/>
      <c r="EO186" s="356"/>
      <c r="EP186" s="356"/>
      <c r="EQ186" s="356"/>
      <c r="ER186" s="356"/>
      <c r="ES186" s="356"/>
      <c r="ET186" s="356"/>
      <c r="EU186" s="356"/>
      <c r="EV186" s="356"/>
      <c r="EW186" s="356"/>
      <c r="EX186" s="356"/>
      <c r="EY186" s="356"/>
      <c r="EZ186" s="356"/>
      <c r="FA186" s="356"/>
      <c r="FB186" s="356"/>
      <c r="FC186" s="356"/>
      <c r="FD186" s="356"/>
      <c r="FE186" s="356"/>
      <c r="FF186" s="356"/>
      <c r="FG186" s="356"/>
      <c r="FH186" s="356"/>
      <c r="FI186" s="356"/>
      <c r="FJ186" s="356"/>
      <c r="FK186" s="356"/>
      <c r="FL186" s="356"/>
      <c r="FM186" s="356"/>
      <c r="FN186" s="356"/>
      <c r="FO186" s="356"/>
      <c r="FP186" s="356"/>
      <c r="FQ186" s="356"/>
      <c r="FR186" s="356"/>
      <c r="FS186" s="356"/>
      <c r="FT186" s="356"/>
      <c r="FU186" s="356"/>
      <c r="FV186" s="356"/>
      <c r="FW186" s="356"/>
      <c r="FX186" s="356"/>
      <c r="FY186" s="356"/>
      <c r="FZ186" s="356"/>
      <c r="GA186" s="356"/>
      <c r="GB186" s="356"/>
      <c r="GC186" s="356"/>
      <c r="GD186" s="356"/>
      <c r="GE186" s="356"/>
      <c r="GF186" s="356"/>
      <c r="GG186" s="356"/>
      <c r="GH186" s="356"/>
      <c r="GI186" s="356"/>
      <c r="GJ186" s="356"/>
      <c r="GK186" s="356"/>
      <c r="GL186" s="356"/>
      <c r="GM186" s="356"/>
      <c r="GN186" s="356"/>
      <c r="GO186" s="356"/>
      <c r="GP186" s="356"/>
      <c r="GQ186" s="356"/>
      <c r="GR186" s="356"/>
      <c r="GS186" s="356"/>
      <c r="GT186" s="356"/>
      <c r="GU186" s="356"/>
      <c r="GV186" s="356"/>
      <c r="GW186" s="356"/>
      <c r="GX186" s="356"/>
      <c r="GY186" s="356"/>
      <c r="GZ186" s="356"/>
      <c r="HA186" s="356"/>
      <c r="HB186" s="356"/>
      <c r="HC186" s="356"/>
      <c r="HD186" s="356"/>
      <c r="HE186" s="356"/>
      <c r="HF186" s="356"/>
      <c r="HG186" s="356"/>
      <c r="HH186" s="356"/>
      <c r="HI186" s="356"/>
      <c r="HJ186" s="356"/>
      <c r="HK186" s="356"/>
      <c r="HL186" s="356"/>
      <c r="HM186" s="356"/>
      <c r="HN186" s="356"/>
      <c r="HO186" s="356"/>
      <c r="HP186" s="356"/>
      <c r="HQ186" s="356"/>
      <c r="HR186" s="356"/>
      <c r="HS186" s="356"/>
      <c r="HT186" s="356"/>
      <c r="HU186" s="356"/>
      <c r="HV186" s="356"/>
      <c r="HW186" s="356"/>
      <c r="HX186" s="356"/>
      <c r="HY186" s="356"/>
      <c r="HZ186" s="356"/>
      <c r="IA186" s="356"/>
      <c r="IB186" s="356"/>
      <c r="IC186" s="356"/>
      <c r="ID186" s="356"/>
      <c r="IE186" s="356"/>
      <c r="IF186" s="356"/>
      <c r="IG186" s="356"/>
      <c r="IH186" s="356"/>
      <c r="II186" s="356"/>
      <c r="IJ186" s="356"/>
      <c r="IK186" s="356"/>
      <c r="IL186" s="356"/>
      <c r="IM186" s="356"/>
      <c r="IN186" s="356"/>
      <c r="IO186" s="356"/>
      <c r="IP186" s="356"/>
      <c r="IQ186" s="356"/>
      <c r="IR186" s="356"/>
      <c r="IS186" s="356"/>
      <c r="IT186" s="356"/>
      <c r="IU186" s="356"/>
      <c r="IV186" s="356"/>
    </row>
    <row r="187" spans="1:256" s="357" customFormat="1" ht="12.75" customHeight="1">
      <c r="A187" s="356"/>
      <c r="B187" s="635" t="s">
        <v>1719</v>
      </c>
      <c r="C187" s="414" t="s">
        <v>343</v>
      </c>
      <c r="D187" s="414" t="s">
        <v>368</v>
      </c>
      <c r="E187" s="430" t="s">
        <v>26</v>
      </c>
      <c r="F187" s="431">
        <v>0.525</v>
      </c>
      <c r="G187" s="432">
        <v>125.64</v>
      </c>
      <c r="H187" s="480">
        <f>'ADITIVO - PLANILHA ORÇAMETARIA '!F187*'ADITIVO - PLANILHA ORÇAMETARIA '!G187</f>
        <v>65.961</v>
      </c>
      <c r="I187" s="417">
        <f t="shared" si="4"/>
        <v>83.01851459999999</v>
      </c>
      <c r="J187" s="356">
        <v>122.62</v>
      </c>
      <c r="K187" s="356"/>
      <c r="L187" s="356"/>
      <c r="M187" s="356"/>
      <c r="N187" s="356"/>
      <c r="O187" s="356"/>
      <c r="P187" s="356"/>
      <c r="Q187" s="356"/>
      <c r="R187" s="356"/>
      <c r="S187" s="356"/>
      <c r="T187" s="356"/>
      <c r="U187" s="356"/>
      <c r="V187" s="356"/>
      <c r="W187" s="356"/>
      <c r="X187" s="356"/>
      <c r="Y187" s="356"/>
      <c r="Z187" s="356"/>
      <c r="AA187" s="356"/>
      <c r="AB187" s="356"/>
      <c r="AC187" s="356"/>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6"/>
      <c r="AY187" s="356"/>
      <c r="AZ187" s="356"/>
      <c r="BA187" s="356"/>
      <c r="BB187" s="356"/>
      <c r="BC187" s="356"/>
      <c r="BD187" s="356"/>
      <c r="BE187" s="356"/>
      <c r="BF187" s="356"/>
      <c r="BG187" s="356"/>
      <c r="BH187" s="356"/>
      <c r="BI187" s="356"/>
      <c r="BJ187" s="356"/>
      <c r="BK187" s="356"/>
      <c r="BL187" s="356"/>
      <c r="BM187" s="356"/>
      <c r="BN187" s="356"/>
      <c r="BO187" s="356"/>
      <c r="BP187" s="356"/>
      <c r="BQ187" s="356"/>
      <c r="BR187" s="356"/>
      <c r="BS187" s="356"/>
      <c r="BT187" s="356"/>
      <c r="BU187" s="356"/>
      <c r="BV187" s="356"/>
      <c r="BW187" s="356"/>
      <c r="BX187" s="356"/>
      <c r="BY187" s="356"/>
      <c r="BZ187" s="356"/>
      <c r="CA187" s="356"/>
      <c r="CB187" s="356"/>
      <c r="CC187" s="356"/>
      <c r="CD187" s="356"/>
      <c r="CE187" s="356"/>
      <c r="CF187" s="356"/>
      <c r="CG187" s="356"/>
      <c r="CH187" s="356"/>
      <c r="CI187" s="356"/>
      <c r="CJ187" s="356"/>
      <c r="CK187" s="356"/>
      <c r="CL187" s="356"/>
      <c r="CM187" s="356"/>
      <c r="CN187" s="356"/>
      <c r="CO187" s="356"/>
      <c r="CP187" s="356"/>
      <c r="CQ187" s="356"/>
      <c r="CR187" s="356"/>
      <c r="CS187" s="356"/>
      <c r="CT187" s="356"/>
      <c r="CU187" s="356"/>
      <c r="CV187" s="356"/>
      <c r="CW187" s="356"/>
      <c r="CX187" s="356"/>
      <c r="CY187" s="356"/>
      <c r="CZ187" s="356"/>
      <c r="DA187" s="356"/>
      <c r="DB187" s="356"/>
      <c r="DC187" s="356"/>
      <c r="DD187" s="356"/>
      <c r="DE187" s="356"/>
      <c r="DF187" s="356"/>
      <c r="DG187" s="356"/>
      <c r="DH187" s="356"/>
      <c r="DI187" s="356"/>
      <c r="DJ187" s="356"/>
      <c r="DK187" s="356"/>
      <c r="DL187" s="356"/>
      <c r="DM187" s="356"/>
      <c r="DN187" s="356"/>
      <c r="DO187" s="356"/>
      <c r="DP187" s="356"/>
      <c r="DQ187" s="356"/>
      <c r="DR187" s="356"/>
      <c r="DS187" s="356"/>
      <c r="DT187" s="356"/>
      <c r="DU187" s="356"/>
      <c r="DV187" s="356"/>
      <c r="DW187" s="356"/>
      <c r="DX187" s="356"/>
      <c r="DY187" s="356"/>
      <c r="DZ187" s="356"/>
      <c r="EA187" s="356"/>
      <c r="EB187" s="356"/>
      <c r="EC187" s="356"/>
      <c r="ED187" s="356"/>
      <c r="EE187" s="356"/>
      <c r="EF187" s="356"/>
      <c r="EG187" s="356"/>
      <c r="EH187" s="356"/>
      <c r="EI187" s="356"/>
      <c r="EJ187" s="356"/>
      <c r="EK187" s="356"/>
      <c r="EL187" s="356"/>
      <c r="EM187" s="356"/>
      <c r="EN187" s="356"/>
      <c r="EO187" s="356"/>
      <c r="EP187" s="356"/>
      <c r="EQ187" s="356"/>
      <c r="ER187" s="356"/>
      <c r="ES187" s="356"/>
      <c r="ET187" s="356"/>
      <c r="EU187" s="356"/>
      <c r="EV187" s="356"/>
      <c r="EW187" s="356"/>
      <c r="EX187" s="356"/>
      <c r="EY187" s="356"/>
      <c r="EZ187" s="356"/>
      <c r="FA187" s="356"/>
      <c r="FB187" s="356"/>
      <c r="FC187" s="356"/>
      <c r="FD187" s="356"/>
      <c r="FE187" s="356"/>
      <c r="FF187" s="356"/>
      <c r="FG187" s="356"/>
      <c r="FH187" s="356"/>
      <c r="FI187" s="356"/>
      <c r="FJ187" s="356"/>
      <c r="FK187" s="356"/>
      <c r="FL187" s="356"/>
      <c r="FM187" s="356"/>
      <c r="FN187" s="356"/>
      <c r="FO187" s="356"/>
      <c r="FP187" s="356"/>
      <c r="FQ187" s="356"/>
      <c r="FR187" s="356"/>
      <c r="FS187" s="356"/>
      <c r="FT187" s="356"/>
      <c r="FU187" s="356"/>
      <c r="FV187" s="356"/>
      <c r="FW187" s="356"/>
      <c r="FX187" s="356"/>
      <c r="FY187" s="356"/>
      <c r="FZ187" s="356"/>
      <c r="GA187" s="356"/>
      <c r="GB187" s="356"/>
      <c r="GC187" s="356"/>
      <c r="GD187" s="356"/>
      <c r="GE187" s="356"/>
      <c r="GF187" s="356"/>
      <c r="GG187" s="356"/>
      <c r="GH187" s="356"/>
      <c r="GI187" s="356"/>
      <c r="GJ187" s="356"/>
      <c r="GK187" s="356"/>
      <c r="GL187" s="356"/>
      <c r="GM187" s="356"/>
      <c r="GN187" s="356"/>
      <c r="GO187" s="356"/>
      <c r="GP187" s="356"/>
      <c r="GQ187" s="356"/>
      <c r="GR187" s="356"/>
      <c r="GS187" s="356"/>
      <c r="GT187" s="356"/>
      <c r="GU187" s="356"/>
      <c r="GV187" s="356"/>
      <c r="GW187" s="356"/>
      <c r="GX187" s="356"/>
      <c r="GY187" s="356"/>
      <c r="GZ187" s="356"/>
      <c r="HA187" s="356"/>
      <c r="HB187" s="356"/>
      <c r="HC187" s="356"/>
      <c r="HD187" s="356"/>
      <c r="HE187" s="356"/>
      <c r="HF187" s="356"/>
      <c r="HG187" s="356"/>
      <c r="HH187" s="356"/>
      <c r="HI187" s="356"/>
      <c r="HJ187" s="356"/>
      <c r="HK187" s="356"/>
      <c r="HL187" s="356"/>
      <c r="HM187" s="356"/>
      <c r="HN187" s="356"/>
      <c r="HO187" s="356"/>
      <c r="HP187" s="356"/>
      <c r="HQ187" s="356"/>
      <c r="HR187" s="356"/>
      <c r="HS187" s="356"/>
      <c r="HT187" s="356"/>
      <c r="HU187" s="356"/>
      <c r="HV187" s="356"/>
      <c r="HW187" s="356"/>
      <c r="HX187" s="356"/>
      <c r="HY187" s="356"/>
      <c r="HZ187" s="356"/>
      <c r="IA187" s="356"/>
      <c r="IB187" s="356"/>
      <c r="IC187" s="356"/>
      <c r="ID187" s="356"/>
      <c r="IE187" s="356"/>
      <c r="IF187" s="356"/>
      <c r="IG187" s="356"/>
      <c r="IH187" s="356"/>
      <c r="II187" s="356"/>
      <c r="IJ187" s="356"/>
      <c r="IK187" s="356"/>
      <c r="IL187" s="356"/>
      <c r="IM187" s="356"/>
      <c r="IN187" s="356"/>
      <c r="IO187" s="356"/>
      <c r="IP187" s="356"/>
      <c r="IQ187" s="356"/>
      <c r="IR187" s="356"/>
      <c r="IS187" s="356"/>
      <c r="IT187" s="356"/>
      <c r="IU187" s="356"/>
      <c r="IV187" s="356"/>
    </row>
    <row r="188" spans="1:256" s="357" customFormat="1" ht="12.75" customHeight="1">
      <c r="A188" s="356"/>
      <c r="B188" s="635" t="s">
        <v>1720</v>
      </c>
      <c r="C188" s="413" t="s">
        <v>369</v>
      </c>
      <c r="D188" s="414" t="s">
        <v>370</v>
      </c>
      <c r="E188" s="415" t="s">
        <v>52</v>
      </c>
      <c r="F188" s="413">
        <f>(3.51*0.03)+(0.525*0.06)+3.042</f>
        <v>3.1788</v>
      </c>
      <c r="G188" s="416">
        <v>33.12</v>
      </c>
      <c r="H188" s="480">
        <f>'ADITIVO - PLANILHA ORÇAMETARIA '!F188*'ADITIVO - PLANILHA ORÇAMETARIA '!G188</f>
        <v>105.28185599999999</v>
      </c>
      <c r="I188" s="417">
        <f t="shared" si="4"/>
        <v>132.50774396159997</v>
      </c>
      <c r="J188" s="356">
        <v>32.19</v>
      </c>
      <c r="K188" s="356"/>
      <c r="L188" s="356"/>
      <c r="M188" s="356"/>
      <c r="N188" s="356"/>
      <c r="O188" s="356"/>
      <c r="P188" s="356"/>
      <c r="Q188" s="356"/>
      <c r="R188" s="356"/>
      <c r="S188" s="356"/>
      <c r="T188" s="356"/>
      <c r="U188" s="356"/>
      <c r="V188" s="356"/>
      <c r="W188" s="356"/>
      <c r="X188" s="356"/>
      <c r="Y188" s="356"/>
      <c r="Z188" s="356"/>
      <c r="AA188" s="356"/>
      <c r="AB188" s="356"/>
      <c r="AC188" s="356"/>
      <c r="AD188" s="356"/>
      <c r="AE188" s="356"/>
      <c r="AF188" s="356"/>
      <c r="AG188" s="356"/>
      <c r="AH188" s="356"/>
      <c r="AI188" s="356"/>
      <c r="AJ188" s="356"/>
      <c r="AK188" s="356"/>
      <c r="AL188" s="356"/>
      <c r="AM188" s="356"/>
      <c r="AN188" s="356"/>
      <c r="AO188" s="356"/>
      <c r="AP188" s="356"/>
      <c r="AQ188" s="356"/>
      <c r="AR188" s="356"/>
      <c r="AS188" s="356"/>
      <c r="AT188" s="356"/>
      <c r="AU188" s="356"/>
      <c r="AV188" s="356"/>
      <c r="AW188" s="356"/>
      <c r="AX188" s="356"/>
      <c r="AY188" s="356"/>
      <c r="AZ188" s="356"/>
      <c r="BA188" s="356"/>
      <c r="BB188" s="356"/>
      <c r="BC188" s="356"/>
      <c r="BD188" s="356"/>
      <c r="BE188" s="356"/>
      <c r="BF188" s="356"/>
      <c r="BG188" s="356"/>
      <c r="BH188" s="356"/>
      <c r="BI188" s="356"/>
      <c r="BJ188" s="356"/>
      <c r="BK188" s="356"/>
      <c r="BL188" s="356"/>
      <c r="BM188" s="356"/>
      <c r="BN188" s="356"/>
      <c r="BO188" s="356"/>
      <c r="BP188" s="356"/>
      <c r="BQ188" s="356"/>
      <c r="BR188" s="356"/>
      <c r="BS188" s="356"/>
      <c r="BT188" s="356"/>
      <c r="BU188" s="356"/>
      <c r="BV188" s="356"/>
      <c r="BW188" s="356"/>
      <c r="BX188" s="356"/>
      <c r="BY188" s="356"/>
      <c r="BZ188" s="356"/>
      <c r="CA188" s="356"/>
      <c r="CB188" s="356"/>
      <c r="CC188" s="356"/>
      <c r="CD188" s="356"/>
      <c r="CE188" s="356"/>
      <c r="CF188" s="356"/>
      <c r="CG188" s="356"/>
      <c r="CH188" s="356"/>
      <c r="CI188" s="356"/>
      <c r="CJ188" s="356"/>
      <c r="CK188" s="356"/>
      <c r="CL188" s="356"/>
      <c r="CM188" s="356"/>
      <c r="CN188" s="356"/>
      <c r="CO188" s="356"/>
      <c r="CP188" s="356"/>
      <c r="CQ188" s="356"/>
      <c r="CR188" s="356"/>
      <c r="CS188" s="356"/>
      <c r="CT188" s="356"/>
      <c r="CU188" s="356"/>
      <c r="CV188" s="356"/>
      <c r="CW188" s="356"/>
      <c r="CX188" s="356"/>
      <c r="CY188" s="356"/>
      <c r="CZ188" s="356"/>
      <c r="DA188" s="356"/>
      <c r="DB188" s="356"/>
      <c r="DC188" s="356"/>
      <c r="DD188" s="356"/>
      <c r="DE188" s="356"/>
      <c r="DF188" s="356"/>
      <c r="DG188" s="356"/>
      <c r="DH188" s="356"/>
      <c r="DI188" s="356"/>
      <c r="DJ188" s="356"/>
      <c r="DK188" s="356"/>
      <c r="DL188" s="356"/>
      <c r="DM188" s="356"/>
      <c r="DN188" s="356"/>
      <c r="DO188" s="356"/>
      <c r="DP188" s="356"/>
      <c r="DQ188" s="356"/>
      <c r="DR188" s="356"/>
      <c r="DS188" s="356"/>
      <c r="DT188" s="356"/>
      <c r="DU188" s="356"/>
      <c r="DV188" s="356"/>
      <c r="DW188" s="356"/>
      <c r="DX188" s="356"/>
      <c r="DY188" s="356"/>
      <c r="DZ188" s="356"/>
      <c r="EA188" s="356"/>
      <c r="EB188" s="356"/>
      <c r="EC188" s="356"/>
      <c r="ED188" s="356"/>
      <c r="EE188" s="356"/>
      <c r="EF188" s="356"/>
      <c r="EG188" s="356"/>
      <c r="EH188" s="356"/>
      <c r="EI188" s="356"/>
      <c r="EJ188" s="356"/>
      <c r="EK188" s="356"/>
      <c r="EL188" s="356"/>
      <c r="EM188" s="356"/>
      <c r="EN188" s="356"/>
      <c r="EO188" s="356"/>
      <c r="EP188" s="356"/>
      <c r="EQ188" s="356"/>
      <c r="ER188" s="356"/>
      <c r="ES188" s="356"/>
      <c r="ET188" s="356"/>
      <c r="EU188" s="356"/>
      <c r="EV188" s="356"/>
      <c r="EW188" s="356"/>
      <c r="EX188" s="356"/>
      <c r="EY188" s="356"/>
      <c r="EZ188" s="356"/>
      <c r="FA188" s="356"/>
      <c r="FB188" s="356"/>
      <c r="FC188" s="356"/>
      <c r="FD188" s="356"/>
      <c r="FE188" s="356"/>
      <c r="FF188" s="356"/>
      <c r="FG188" s="356"/>
      <c r="FH188" s="356"/>
      <c r="FI188" s="356"/>
      <c r="FJ188" s="356"/>
      <c r="FK188" s="356"/>
      <c r="FL188" s="356"/>
      <c r="FM188" s="356"/>
      <c r="FN188" s="356"/>
      <c r="FO188" s="356"/>
      <c r="FP188" s="356"/>
      <c r="FQ188" s="356"/>
      <c r="FR188" s="356"/>
      <c r="FS188" s="356"/>
      <c r="FT188" s="356"/>
      <c r="FU188" s="356"/>
      <c r="FV188" s="356"/>
      <c r="FW188" s="356"/>
      <c r="FX188" s="356"/>
      <c r="FY188" s="356"/>
      <c r="FZ188" s="356"/>
      <c r="GA188" s="356"/>
      <c r="GB188" s="356"/>
      <c r="GC188" s="356"/>
      <c r="GD188" s="356"/>
      <c r="GE188" s="356"/>
      <c r="GF188" s="356"/>
      <c r="GG188" s="356"/>
      <c r="GH188" s="356"/>
      <c r="GI188" s="356"/>
      <c r="GJ188" s="356"/>
      <c r="GK188" s="356"/>
      <c r="GL188" s="356"/>
      <c r="GM188" s="356"/>
      <c r="GN188" s="356"/>
      <c r="GO188" s="356"/>
      <c r="GP188" s="356"/>
      <c r="GQ188" s="356"/>
      <c r="GR188" s="356"/>
      <c r="GS188" s="356"/>
      <c r="GT188" s="356"/>
      <c r="GU188" s="356"/>
      <c r="GV188" s="356"/>
      <c r="GW188" s="356"/>
      <c r="GX188" s="356"/>
      <c r="GY188" s="356"/>
      <c r="GZ188" s="356"/>
      <c r="HA188" s="356"/>
      <c r="HB188" s="356"/>
      <c r="HC188" s="356"/>
      <c r="HD188" s="356"/>
      <c r="HE188" s="356"/>
      <c r="HF188" s="356"/>
      <c r="HG188" s="356"/>
      <c r="HH188" s="356"/>
      <c r="HI188" s="356"/>
      <c r="HJ188" s="356"/>
      <c r="HK188" s="356"/>
      <c r="HL188" s="356"/>
      <c r="HM188" s="356"/>
      <c r="HN188" s="356"/>
      <c r="HO188" s="356"/>
      <c r="HP188" s="356"/>
      <c r="HQ188" s="356"/>
      <c r="HR188" s="356"/>
      <c r="HS188" s="356"/>
      <c r="HT188" s="356"/>
      <c r="HU188" s="356"/>
      <c r="HV188" s="356"/>
      <c r="HW188" s="356"/>
      <c r="HX188" s="356"/>
      <c r="HY188" s="356"/>
      <c r="HZ188" s="356"/>
      <c r="IA188" s="356"/>
      <c r="IB188" s="356"/>
      <c r="IC188" s="356"/>
      <c r="ID188" s="356"/>
      <c r="IE188" s="356"/>
      <c r="IF188" s="356"/>
      <c r="IG188" s="356"/>
      <c r="IH188" s="356"/>
      <c r="II188" s="356"/>
      <c r="IJ188" s="356"/>
      <c r="IK188" s="356"/>
      <c r="IL188" s="356"/>
      <c r="IM188" s="356"/>
      <c r="IN188" s="356"/>
      <c r="IO188" s="356"/>
      <c r="IP188" s="356"/>
      <c r="IQ188" s="356"/>
      <c r="IR188" s="356"/>
      <c r="IS188" s="356"/>
      <c r="IT188" s="356"/>
      <c r="IU188" s="356"/>
      <c r="IV188" s="356"/>
    </row>
    <row r="189" spans="1:256" s="357" customFormat="1" ht="12.75" customHeight="1">
      <c r="A189" s="356"/>
      <c r="B189" s="635" t="s">
        <v>1721</v>
      </c>
      <c r="C189" s="413" t="s">
        <v>377</v>
      </c>
      <c r="D189" s="414" t="s">
        <v>378</v>
      </c>
      <c r="E189" s="415" t="s">
        <v>133</v>
      </c>
      <c r="F189" s="413">
        <v>17.6</v>
      </c>
      <c r="G189" s="416">
        <v>22.93</v>
      </c>
      <c r="H189" s="480">
        <f>'ADITIVO - PLANILHA ORÇAMETARIA '!G189*'ADITIVO - PLANILHA ORÇAMETARIA '!F189</f>
        <v>403.56800000000004</v>
      </c>
      <c r="I189" s="417">
        <f t="shared" si="4"/>
        <v>507.93068480000005</v>
      </c>
      <c r="J189" s="356">
        <v>23.82</v>
      </c>
      <c r="K189" s="356"/>
      <c r="L189" s="356"/>
      <c r="M189" s="356"/>
      <c r="N189" s="356"/>
      <c r="O189" s="356"/>
      <c r="P189" s="356"/>
      <c r="Q189" s="356"/>
      <c r="R189" s="356"/>
      <c r="S189" s="356"/>
      <c r="T189" s="356"/>
      <c r="U189" s="356"/>
      <c r="V189" s="356"/>
      <c r="W189" s="356"/>
      <c r="X189" s="356"/>
      <c r="Y189" s="356"/>
      <c r="Z189" s="356"/>
      <c r="AA189" s="356"/>
      <c r="AB189" s="356"/>
      <c r="AC189" s="356"/>
      <c r="AD189" s="356"/>
      <c r="AE189" s="356"/>
      <c r="AF189" s="356"/>
      <c r="AG189" s="356"/>
      <c r="AH189" s="356"/>
      <c r="AI189" s="356"/>
      <c r="AJ189" s="356"/>
      <c r="AK189" s="356"/>
      <c r="AL189" s="356"/>
      <c r="AM189" s="356"/>
      <c r="AN189" s="356"/>
      <c r="AO189" s="356"/>
      <c r="AP189" s="356"/>
      <c r="AQ189" s="356"/>
      <c r="AR189" s="356"/>
      <c r="AS189" s="356"/>
      <c r="AT189" s="356"/>
      <c r="AU189" s="356"/>
      <c r="AV189" s="356"/>
      <c r="AW189" s="356"/>
      <c r="AX189" s="356"/>
      <c r="AY189" s="356"/>
      <c r="AZ189" s="356"/>
      <c r="BA189" s="356"/>
      <c r="BB189" s="356"/>
      <c r="BC189" s="356"/>
      <c r="BD189" s="356"/>
      <c r="BE189" s="356"/>
      <c r="BF189" s="356"/>
      <c r="BG189" s="356"/>
      <c r="BH189" s="356"/>
      <c r="BI189" s="356"/>
      <c r="BJ189" s="356"/>
      <c r="BK189" s="356"/>
      <c r="BL189" s="356"/>
      <c r="BM189" s="356"/>
      <c r="BN189" s="356"/>
      <c r="BO189" s="356"/>
      <c r="BP189" s="356"/>
      <c r="BQ189" s="356"/>
      <c r="BR189" s="356"/>
      <c r="BS189" s="356"/>
      <c r="BT189" s="356"/>
      <c r="BU189" s="356"/>
      <c r="BV189" s="356"/>
      <c r="BW189" s="356"/>
      <c r="BX189" s="356"/>
      <c r="BY189" s="356"/>
      <c r="BZ189" s="356"/>
      <c r="CA189" s="356"/>
      <c r="CB189" s="356"/>
      <c r="CC189" s="356"/>
      <c r="CD189" s="356"/>
      <c r="CE189" s="356"/>
      <c r="CF189" s="356"/>
      <c r="CG189" s="356"/>
      <c r="CH189" s="356"/>
      <c r="CI189" s="356"/>
      <c r="CJ189" s="356"/>
      <c r="CK189" s="356"/>
      <c r="CL189" s="356"/>
      <c r="CM189" s="356"/>
      <c r="CN189" s="356"/>
      <c r="CO189" s="356"/>
      <c r="CP189" s="356"/>
      <c r="CQ189" s="356"/>
      <c r="CR189" s="356"/>
      <c r="CS189" s="356"/>
      <c r="CT189" s="356"/>
      <c r="CU189" s="356"/>
      <c r="CV189" s="356"/>
      <c r="CW189" s="356"/>
      <c r="CX189" s="356"/>
      <c r="CY189" s="356"/>
      <c r="CZ189" s="356"/>
      <c r="DA189" s="356"/>
      <c r="DB189" s="356"/>
      <c r="DC189" s="356"/>
      <c r="DD189" s="356"/>
      <c r="DE189" s="356"/>
      <c r="DF189" s="356"/>
      <c r="DG189" s="356"/>
      <c r="DH189" s="356"/>
      <c r="DI189" s="356"/>
      <c r="DJ189" s="356"/>
      <c r="DK189" s="356"/>
      <c r="DL189" s="356"/>
      <c r="DM189" s="356"/>
      <c r="DN189" s="356"/>
      <c r="DO189" s="356"/>
      <c r="DP189" s="356"/>
      <c r="DQ189" s="356"/>
      <c r="DR189" s="356"/>
      <c r="DS189" s="356"/>
      <c r="DT189" s="356"/>
      <c r="DU189" s="356"/>
      <c r="DV189" s="356"/>
      <c r="DW189" s="356"/>
      <c r="DX189" s="356"/>
      <c r="DY189" s="356"/>
      <c r="DZ189" s="356"/>
      <c r="EA189" s="356"/>
      <c r="EB189" s="356"/>
      <c r="EC189" s="356"/>
      <c r="ED189" s="356"/>
      <c r="EE189" s="356"/>
      <c r="EF189" s="356"/>
      <c r="EG189" s="356"/>
      <c r="EH189" s="356"/>
      <c r="EI189" s="356"/>
      <c r="EJ189" s="356"/>
      <c r="EK189" s="356"/>
      <c r="EL189" s="356"/>
      <c r="EM189" s="356"/>
      <c r="EN189" s="356"/>
      <c r="EO189" s="356"/>
      <c r="EP189" s="356"/>
      <c r="EQ189" s="356"/>
      <c r="ER189" s="356"/>
      <c r="ES189" s="356"/>
      <c r="ET189" s="356"/>
      <c r="EU189" s="356"/>
      <c r="EV189" s="356"/>
      <c r="EW189" s="356"/>
      <c r="EX189" s="356"/>
      <c r="EY189" s="356"/>
      <c r="EZ189" s="356"/>
      <c r="FA189" s="356"/>
      <c r="FB189" s="356"/>
      <c r="FC189" s="356"/>
      <c r="FD189" s="356"/>
      <c r="FE189" s="356"/>
      <c r="FF189" s="356"/>
      <c r="FG189" s="356"/>
      <c r="FH189" s="356"/>
      <c r="FI189" s="356"/>
      <c r="FJ189" s="356"/>
      <c r="FK189" s="356"/>
      <c r="FL189" s="356"/>
      <c r="FM189" s="356"/>
      <c r="FN189" s="356"/>
      <c r="FO189" s="356"/>
      <c r="FP189" s="356"/>
      <c r="FQ189" s="356"/>
      <c r="FR189" s="356"/>
      <c r="FS189" s="356"/>
      <c r="FT189" s="356"/>
      <c r="FU189" s="356"/>
      <c r="FV189" s="356"/>
      <c r="FW189" s="356"/>
      <c r="FX189" s="356"/>
      <c r="FY189" s="356"/>
      <c r="FZ189" s="356"/>
      <c r="GA189" s="356"/>
      <c r="GB189" s="356"/>
      <c r="GC189" s="356"/>
      <c r="GD189" s="356"/>
      <c r="GE189" s="356"/>
      <c r="GF189" s="356"/>
      <c r="GG189" s="356"/>
      <c r="GH189" s="356"/>
      <c r="GI189" s="356"/>
      <c r="GJ189" s="356"/>
      <c r="GK189" s="356"/>
      <c r="GL189" s="356"/>
      <c r="GM189" s="356"/>
      <c r="GN189" s="356"/>
      <c r="GO189" s="356"/>
      <c r="GP189" s="356"/>
      <c r="GQ189" s="356"/>
      <c r="GR189" s="356"/>
      <c r="GS189" s="356"/>
      <c r="GT189" s="356"/>
      <c r="GU189" s="356"/>
      <c r="GV189" s="356"/>
      <c r="GW189" s="356"/>
      <c r="GX189" s="356"/>
      <c r="GY189" s="356"/>
      <c r="GZ189" s="356"/>
      <c r="HA189" s="356"/>
      <c r="HB189" s="356"/>
      <c r="HC189" s="356"/>
      <c r="HD189" s="356"/>
      <c r="HE189" s="356"/>
      <c r="HF189" s="356"/>
      <c r="HG189" s="356"/>
      <c r="HH189" s="356"/>
      <c r="HI189" s="356"/>
      <c r="HJ189" s="356"/>
      <c r="HK189" s="356"/>
      <c r="HL189" s="356"/>
      <c r="HM189" s="356"/>
      <c r="HN189" s="356"/>
      <c r="HO189" s="356"/>
      <c r="HP189" s="356"/>
      <c r="HQ189" s="356"/>
      <c r="HR189" s="356"/>
      <c r="HS189" s="356"/>
      <c r="HT189" s="356"/>
      <c r="HU189" s="356"/>
      <c r="HV189" s="356"/>
      <c r="HW189" s="356"/>
      <c r="HX189" s="356"/>
      <c r="HY189" s="356"/>
      <c r="HZ189" s="356"/>
      <c r="IA189" s="356"/>
      <c r="IB189" s="356"/>
      <c r="IC189" s="356"/>
      <c r="ID189" s="356"/>
      <c r="IE189" s="356"/>
      <c r="IF189" s="356"/>
      <c r="IG189" s="356"/>
      <c r="IH189" s="356"/>
      <c r="II189" s="356"/>
      <c r="IJ189" s="356"/>
      <c r="IK189" s="356"/>
      <c r="IL189" s="356"/>
      <c r="IM189" s="356"/>
      <c r="IN189" s="356"/>
      <c r="IO189" s="356"/>
      <c r="IP189" s="356"/>
      <c r="IQ189" s="356"/>
      <c r="IR189" s="356"/>
      <c r="IS189" s="356"/>
      <c r="IT189" s="356"/>
      <c r="IU189" s="356"/>
      <c r="IV189" s="356"/>
    </row>
    <row r="190" spans="1:256" s="357" customFormat="1" ht="15.75">
      <c r="A190" s="356"/>
      <c r="B190" s="635" t="s">
        <v>1722</v>
      </c>
      <c r="C190" s="409" t="s">
        <v>379</v>
      </c>
      <c r="D190" s="408" t="s">
        <v>380</v>
      </c>
      <c r="E190" s="410" t="s">
        <v>26</v>
      </c>
      <c r="F190" s="408">
        <v>9</v>
      </c>
      <c r="G190" s="412">
        <f>COMPOSIÇÕES!F267</f>
        <v>93.328</v>
      </c>
      <c r="H190" s="482">
        <f>G190*F190</f>
        <v>839.952</v>
      </c>
      <c r="I190" s="417">
        <f t="shared" si="4"/>
        <v>1057.1635872</v>
      </c>
      <c r="J190" s="356">
        <v>122.73670000000001</v>
      </c>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356"/>
      <c r="AY190" s="356"/>
      <c r="AZ190" s="356"/>
      <c r="BA190" s="356"/>
      <c r="BB190" s="356"/>
      <c r="BC190" s="356"/>
      <c r="BD190" s="356"/>
      <c r="BE190" s="356"/>
      <c r="BF190" s="356"/>
      <c r="BG190" s="356"/>
      <c r="BH190" s="356"/>
      <c r="BI190" s="356"/>
      <c r="BJ190" s="356"/>
      <c r="BK190" s="356"/>
      <c r="BL190" s="356"/>
      <c r="BM190" s="356"/>
      <c r="BN190" s="356"/>
      <c r="BO190" s="356"/>
      <c r="BP190" s="356"/>
      <c r="BQ190" s="356"/>
      <c r="BR190" s="356"/>
      <c r="BS190" s="356"/>
      <c r="BT190" s="356"/>
      <c r="BU190" s="356"/>
      <c r="BV190" s="356"/>
      <c r="BW190" s="356"/>
      <c r="BX190" s="356"/>
      <c r="BY190" s="356"/>
      <c r="BZ190" s="356"/>
      <c r="CA190" s="356"/>
      <c r="CB190" s="356"/>
      <c r="CC190" s="356"/>
      <c r="CD190" s="356"/>
      <c r="CE190" s="356"/>
      <c r="CF190" s="356"/>
      <c r="CG190" s="356"/>
      <c r="CH190" s="356"/>
      <c r="CI190" s="356"/>
      <c r="CJ190" s="356"/>
      <c r="CK190" s="356"/>
      <c r="CL190" s="356"/>
      <c r="CM190" s="356"/>
      <c r="CN190" s="356"/>
      <c r="CO190" s="356"/>
      <c r="CP190" s="356"/>
      <c r="CQ190" s="356"/>
      <c r="CR190" s="356"/>
      <c r="CS190" s="356"/>
      <c r="CT190" s="356"/>
      <c r="CU190" s="356"/>
      <c r="CV190" s="356"/>
      <c r="CW190" s="356"/>
      <c r="CX190" s="356"/>
      <c r="CY190" s="356"/>
      <c r="CZ190" s="356"/>
      <c r="DA190" s="356"/>
      <c r="DB190" s="356"/>
      <c r="DC190" s="356"/>
      <c r="DD190" s="356"/>
      <c r="DE190" s="356"/>
      <c r="DF190" s="356"/>
      <c r="DG190" s="356"/>
      <c r="DH190" s="356"/>
      <c r="DI190" s="356"/>
      <c r="DJ190" s="356"/>
      <c r="DK190" s="356"/>
      <c r="DL190" s="356"/>
      <c r="DM190" s="356"/>
      <c r="DN190" s="356"/>
      <c r="DO190" s="356"/>
      <c r="DP190" s="356"/>
      <c r="DQ190" s="356"/>
      <c r="DR190" s="356"/>
      <c r="DS190" s="356"/>
      <c r="DT190" s="356"/>
      <c r="DU190" s="356"/>
      <c r="DV190" s="356"/>
      <c r="DW190" s="356"/>
      <c r="DX190" s="356"/>
      <c r="DY190" s="356"/>
      <c r="DZ190" s="356"/>
      <c r="EA190" s="356"/>
      <c r="EB190" s="356"/>
      <c r="EC190" s="356"/>
      <c r="ED190" s="356"/>
      <c r="EE190" s="356"/>
      <c r="EF190" s="356"/>
      <c r="EG190" s="356"/>
      <c r="EH190" s="356"/>
      <c r="EI190" s="356"/>
      <c r="EJ190" s="356"/>
      <c r="EK190" s="356"/>
      <c r="EL190" s="356"/>
      <c r="EM190" s="356"/>
      <c r="EN190" s="356"/>
      <c r="EO190" s="356"/>
      <c r="EP190" s="356"/>
      <c r="EQ190" s="356"/>
      <c r="ER190" s="356"/>
      <c r="ES190" s="356"/>
      <c r="ET190" s="356"/>
      <c r="EU190" s="356"/>
      <c r="EV190" s="356"/>
      <c r="EW190" s="356"/>
      <c r="EX190" s="356"/>
      <c r="EY190" s="356"/>
      <c r="EZ190" s="356"/>
      <c r="FA190" s="356"/>
      <c r="FB190" s="356"/>
      <c r="FC190" s="356"/>
      <c r="FD190" s="356"/>
      <c r="FE190" s="356"/>
      <c r="FF190" s="356"/>
      <c r="FG190" s="356"/>
      <c r="FH190" s="356"/>
      <c r="FI190" s="356"/>
      <c r="FJ190" s="356"/>
      <c r="FK190" s="356"/>
      <c r="FL190" s="356"/>
      <c r="FM190" s="356"/>
      <c r="FN190" s="356"/>
      <c r="FO190" s="356"/>
      <c r="FP190" s="356"/>
      <c r="FQ190" s="356"/>
      <c r="FR190" s="356"/>
      <c r="FS190" s="356"/>
      <c r="FT190" s="356"/>
      <c r="FU190" s="356"/>
      <c r="FV190" s="356"/>
      <c r="FW190" s="356"/>
      <c r="FX190" s="356"/>
      <c r="FY190" s="356"/>
      <c r="FZ190" s="356"/>
      <c r="GA190" s="356"/>
      <c r="GB190" s="356"/>
      <c r="GC190" s="356"/>
      <c r="GD190" s="356"/>
      <c r="GE190" s="356"/>
      <c r="GF190" s="356"/>
      <c r="GG190" s="356"/>
      <c r="GH190" s="356"/>
      <c r="GI190" s="356"/>
      <c r="GJ190" s="356"/>
      <c r="GK190" s="356"/>
      <c r="GL190" s="356"/>
      <c r="GM190" s="356"/>
      <c r="GN190" s="356"/>
      <c r="GO190" s="356"/>
      <c r="GP190" s="356"/>
      <c r="GQ190" s="356"/>
      <c r="GR190" s="356"/>
      <c r="GS190" s="356"/>
      <c r="GT190" s="356"/>
      <c r="GU190" s="356"/>
      <c r="GV190" s="356"/>
      <c r="GW190" s="356"/>
      <c r="GX190" s="356"/>
      <c r="GY190" s="356"/>
      <c r="GZ190" s="356"/>
      <c r="HA190" s="356"/>
      <c r="HB190" s="356"/>
      <c r="HC190" s="356"/>
      <c r="HD190" s="356"/>
      <c r="HE190" s="356"/>
      <c r="HF190" s="356"/>
      <c r="HG190" s="356"/>
      <c r="HH190" s="356"/>
      <c r="HI190" s="356"/>
      <c r="HJ190" s="356"/>
      <c r="HK190" s="356"/>
      <c r="HL190" s="356"/>
      <c r="HM190" s="356"/>
      <c r="HN190" s="356"/>
      <c r="HO190" s="356"/>
      <c r="HP190" s="356"/>
      <c r="HQ190" s="356"/>
      <c r="HR190" s="356"/>
      <c r="HS190" s="356"/>
      <c r="HT190" s="356"/>
      <c r="HU190" s="356"/>
      <c r="HV190" s="356"/>
      <c r="HW190" s="356"/>
      <c r="HX190" s="356"/>
      <c r="HY190" s="356"/>
      <c r="HZ190" s="356"/>
      <c r="IA190" s="356"/>
      <c r="IB190" s="356"/>
      <c r="IC190" s="356"/>
      <c r="ID190" s="356"/>
      <c r="IE190" s="356"/>
      <c r="IF190" s="356"/>
      <c r="IG190" s="356"/>
      <c r="IH190" s="356"/>
      <c r="II190" s="356"/>
      <c r="IJ190" s="356"/>
      <c r="IK190" s="356"/>
      <c r="IL190" s="356"/>
      <c r="IM190" s="356"/>
      <c r="IN190" s="356"/>
      <c r="IO190" s="356"/>
      <c r="IP190" s="356"/>
      <c r="IQ190" s="356"/>
      <c r="IR190" s="356"/>
      <c r="IS190" s="356"/>
      <c r="IT190" s="356"/>
      <c r="IU190" s="356"/>
      <c r="IV190" s="356"/>
    </row>
    <row r="191" spans="2:9" s="271" customFormat="1" ht="12.75" customHeight="1">
      <c r="B191" s="639" t="s">
        <v>1464</v>
      </c>
      <c r="C191" s="239"/>
      <c r="D191" s="237" t="s">
        <v>340</v>
      </c>
      <c r="E191" s="238"/>
      <c r="F191" s="239"/>
      <c r="G191" s="239"/>
      <c r="H191" s="476">
        <f>ROUND(SUM(H192:H194),2)</f>
        <v>10254.49</v>
      </c>
      <c r="I191" s="618">
        <f t="shared" si="4"/>
        <v>12906.301114</v>
      </c>
    </row>
    <row r="192" spans="1:256" s="357" customFormat="1" ht="12.75" customHeight="1">
      <c r="A192" s="356"/>
      <c r="B192" s="647" t="s">
        <v>1723</v>
      </c>
      <c r="C192" s="408" t="s">
        <v>382</v>
      </c>
      <c r="D192" s="408" t="s">
        <v>383</v>
      </c>
      <c r="E192" s="410" t="s">
        <v>106</v>
      </c>
      <c r="F192" s="408">
        <v>1</v>
      </c>
      <c r="G192" s="412">
        <f>COMPOSIÇÕES!F220</f>
        <v>770.5014274</v>
      </c>
      <c r="H192" s="482">
        <f>'ADITIVO - PLANILHA ORÇAMETARIA '!G192*'ADITIVO - PLANILHA ORÇAMETARIA '!F192</f>
        <v>770.5014274</v>
      </c>
      <c r="I192" s="627">
        <f t="shared" si="4"/>
        <v>969.75309652564</v>
      </c>
      <c r="J192" s="356">
        <v>699.7103238</v>
      </c>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356"/>
      <c r="AK192" s="356"/>
      <c r="AL192" s="356"/>
      <c r="AM192" s="356"/>
      <c r="AN192" s="356"/>
      <c r="AO192" s="356"/>
      <c r="AP192" s="356"/>
      <c r="AQ192" s="356"/>
      <c r="AR192" s="356"/>
      <c r="AS192" s="356"/>
      <c r="AT192" s="356"/>
      <c r="AU192" s="356"/>
      <c r="AV192" s="356"/>
      <c r="AW192" s="356"/>
      <c r="AX192" s="356"/>
      <c r="AY192" s="356"/>
      <c r="AZ192" s="356"/>
      <c r="BA192" s="356"/>
      <c r="BB192" s="356"/>
      <c r="BC192" s="356"/>
      <c r="BD192" s="356"/>
      <c r="BE192" s="356"/>
      <c r="BF192" s="356"/>
      <c r="BG192" s="356"/>
      <c r="BH192" s="356"/>
      <c r="BI192" s="356"/>
      <c r="BJ192" s="356"/>
      <c r="BK192" s="356"/>
      <c r="BL192" s="356"/>
      <c r="BM192" s="356"/>
      <c r="BN192" s="356"/>
      <c r="BO192" s="356"/>
      <c r="BP192" s="356"/>
      <c r="BQ192" s="356"/>
      <c r="BR192" s="356"/>
      <c r="BS192" s="356"/>
      <c r="BT192" s="356"/>
      <c r="BU192" s="356"/>
      <c r="BV192" s="356"/>
      <c r="BW192" s="356"/>
      <c r="BX192" s="356"/>
      <c r="BY192" s="356"/>
      <c r="BZ192" s="356"/>
      <c r="CA192" s="356"/>
      <c r="CB192" s="356"/>
      <c r="CC192" s="356"/>
      <c r="CD192" s="356"/>
      <c r="CE192" s="356"/>
      <c r="CF192" s="356"/>
      <c r="CG192" s="356"/>
      <c r="CH192" s="356"/>
      <c r="CI192" s="356"/>
      <c r="CJ192" s="356"/>
      <c r="CK192" s="356"/>
      <c r="CL192" s="356"/>
      <c r="CM192" s="356"/>
      <c r="CN192" s="356"/>
      <c r="CO192" s="356"/>
      <c r="CP192" s="356"/>
      <c r="CQ192" s="356"/>
      <c r="CR192" s="356"/>
      <c r="CS192" s="356"/>
      <c r="CT192" s="356"/>
      <c r="CU192" s="356"/>
      <c r="CV192" s="356"/>
      <c r="CW192" s="356"/>
      <c r="CX192" s="356"/>
      <c r="CY192" s="356"/>
      <c r="CZ192" s="356"/>
      <c r="DA192" s="356"/>
      <c r="DB192" s="356"/>
      <c r="DC192" s="356"/>
      <c r="DD192" s="356"/>
      <c r="DE192" s="356"/>
      <c r="DF192" s="356"/>
      <c r="DG192" s="356"/>
      <c r="DH192" s="356"/>
      <c r="DI192" s="356"/>
      <c r="DJ192" s="356"/>
      <c r="DK192" s="356"/>
      <c r="DL192" s="356"/>
      <c r="DM192" s="356"/>
      <c r="DN192" s="356"/>
      <c r="DO192" s="356"/>
      <c r="DP192" s="356"/>
      <c r="DQ192" s="356"/>
      <c r="DR192" s="356"/>
      <c r="DS192" s="356"/>
      <c r="DT192" s="356"/>
      <c r="DU192" s="356"/>
      <c r="DV192" s="356"/>
      <c r="DW192" s="356"/>
      <c r="DX192" s="356"/>
      <c r="DY192" s="356"/>
      <c r="DZ192" s="356"/>
      <c r="EA192" s="356"/>
      <c r="EB192" s="356"/>
      <c r="EC192" s="356"/>
      <c r="ED192" s="356"/>
      <c r="EE192" s="356"/>
      <c r="EF192" s="356"/>
      <c r="EG192" s="356"/>
      <c r="EH192" s="356"/>
      <c r="EI192" s="356"/>
      <c r="EJ192" s="356"/>
      <c r="EK192" s="356"/>
      <c r="EL192" s="356"/>
      <c r="EM192" s="356"/>
      <c r="EN192" s="356"/>
      <c r="EO192" s="356"/>
      <c r="EP192" s="356"/>
      <c r="EQ192" s="356"/>
      <c r="ER192" s="356"/>
      <c r="ES192" s="356"/>
      <c r="ET192" s="356"/>
      <c r="EU192" s="356"/>
      <c r="EV192" s="356"/>
      <c r="EW192" s="356"/>
      <c r="EX192" s="356"/>
      <c r="EY192" s="356"/>
      <c r="EZ192" s="356"/>
      <c r="FA192" s="356"/>
      <c r="FB192" s="356"/>
      <c r="FC192" s="356"/>
      <c r="FD192" s="356"/>
      <c r="FE192" s="356"/>
      <c r="FF192" s="356"/>
      <c r="FG192" s="356"/>
      <c r="FH192" s="356"/>
      <c r="FI192" s="356"/>
      <c r="FJ192" s="356"/>
      <c r="FK192" s="356"/>
      <c r="FL192" s="356"/>
      <c r="FM192" s="356"/>
      <c r="FN192" s="356"/>
      <c r="FO192" s="356"/>
      <c r="FP192" s="356"/>
      <c r="FQ192" s="356"/>
      <c r="FR192" s="356"/>
      <c r="FS192" s="356"/>
      <c r="FT192" s="356"/>
      <c r="FU192" s="356"/>
      <c r="FV192" s="356"/>
      <c r="FW192" s="356"/>
      <c r="FX192" s="356"/>
      <c r="FY192" s="356"/>
      <c r="FZ192" s="356"/>
      <c r="GA192" s="356"/>
      <c r="GB192" s="356"/>
      <c r="GC192" s="356"/>
      <c r="GD192" s="356"/>
      <c r="GE192" s="356"/>
      <c r="GF192" s="356"/>
      <c r="GG192" s="356"/>
      <c r="GH192" s="356"/>
      <c r="GI192" s="356"/>
      <c r="GJ192" s="356"/>
      <c r="GK192" s="356"/>
      <c r="GL192" s="356"/>
      <c r="GM192" s="356"/>
      <c r="GN192" s="356"/>
      <c r="GO192" s="356"/>
      <c r="GP192" s="356"/>
      <c r="GQ192" s="356"/>
      <c r="GR192" s="356"/>
      <c r="GS192" s="356"/>
      <c r="GT192" s="356"/>
      <c r="GU192" s="356"/>
      <c r="GV192" s="356"/>
      <c r="GW192" s="356"/>
      <c r="GX192" s="356"/>
      <c r="GY192" s="356"/>
      <c r="GZ192" s="356"/>
      <c r="HA192" s="356"/>
      <c r="HB192" s="356"/>
      <c r="HC192" s="356"/>
      <c r="HD192" s="356"/>
      <c r="HE192" s="356"/>
      <c r="HF192" s="356"/>
      <c r="HG192" s="356"/>
      <c r="HH192" s="356"/>
      <c r="HI192" s="356"/>
      <c r="HJ192" s="356"/>
      <c r="HK192" s="356"/>
      <c r="HL192" s="356"/>
      <c r="HM192" s="356"/>
      <c r="HN192" s="356"/>
      <c r="HO192" s="356"/>
      <c r="HP192" s="356"/>
      <c r="HQ192" s="356"/>
      <c r="HR192" s="356"/>
      <c r="HS192" s="356"/>
      <c r="HT192" s="356"/>
      <c r="HU192" s="356"/>
      <c r="HV192" s="356"/>
      <c r="HW192" s="356"/>
      <c r="HX192" s="356"/>
      <c r="HY192" s="356"/>
      <c r="HZ192" s="356"/>
      <c r="IA192" s="356"/>
      <c r="IB192" s="356"/>
      <c r="IC192" s="356"/>
      <c r="ID192" s="356"/>
      <c r="IE192" s="356"/>
      <c r="IF192" s="356"/>
      <c r="IG192" s="356"/>
      <c r="IH192" s="356"/>
      <c r="II192" s="356"/>
      <c r="IJ192" s="356"/>
      <c r="IK192" s="356"/>
      <c r="IL192" s="356"/>
      <c r="IM192" s="356"/>
      <c r="IN192" s="356"/>
      <c r="IO192" s="356"/>
      <c r="IP192" s="356"/>
      <c r="IQ192" s="356"/>
      <c r="IR192" s="356"/>
      <c r="IS192" s="356"/>
      <c r="IT192" s="356"/>
      <c r="IU192" s="356"/>
      <c r="IV192" s="356"/>
    </row>
    <row r="193" spans="1:256" s="357" customFormat="1" ht="15.75">
      <c r="A193" s="356"/>
      <c r="B193" s="647" t="s">
        <v>1724</v>
      </c>
      <c r="C193" s="408" t="s">
        <v>384</v>
      </c>
      <c r="D193" s="463" t="s">
        <v>385</v>
      </c>
      <c r="E193" s="464" t="s">
        <v>26</v>
      </c>
      <c r="F193" s="463">
        <f>2*(33+23)</f>
        <v>112</v>
      </c>
      <c r="G193" s="465">
        <f>COMPOSIÇÕES!F284</f>
        <v>77.17168000000001</v>
      </c>
      <c r="H193" s="482">
        <f>'ADITIVO - PLANILHA ORÇAMETARIA '!G193*'ADITIVO - PLANILHA ORÇAMETARIA '!F193</f>
        <v>8643.22816</v>
      </c>
      <c r="I193" s="627">
        <f t="shared" si="4"/>
        <v>10878.366962176</v>
      </c>
      <c r="J193" s="356">
        <v>85.364</v>
      </c>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c r="AI193" s="356"/>
      <c r="AJ193" s="356"/>
      <c r="AK193" s="356"/>
      <c r="AL193" s="356"/>
      <c r="AM193" s="356"/>
      <c r="AN193" s="356"/>
      <c r="AO193" s="356"/>
      <c r="AP193" s="356"/>
      <c r="AQ193" s="356"/>
      <c r="AR193" s="356"/>
      <c r="AS193" s="356"/>
      <c r="AT193" s="356"/>
      <c r="AU193" s="356"/>
      <c r="AV193" s="356"/>
      <c r="AW193" s="356"/>
      <c r="AX193" s="356"/>
      <c r="AY193" s="356"/>
      <c r="AZ193" s="356"/>
      <c r="BA193" s="356"/>
      <c r="BB193" s="356"/>
      <c r="BC193" s="356"/>
      <c r="BD193" s="356"/>
      <c r="BE193" s="356"/>
      <c r="BF193" s="356"/>
      <c r="BG193" s="356"/>
      <c r="BH193" s="356"/>
      <c r="BI193" s="356"/>
      <c r="BJ193" s="356"/>
      <c r="BK193" s="356"/>
      <c r="BL193" s="356"/>
      <c r="BM193" s="356"/>
      <c r="BN193" s="356"/>
      <c r="BO193" s="356"/>
      <c r="BP193" s="356"/>
      <c r="BQ193" s="356"/>
      <c r="BR193" s="356"/>
      <c r="BS193" s="356"/>
      <c r="BT193" s="356"/>
      <c r="BU193" s="356"/>
      <c r="BV193" s="356"/>
      <c r="BW193" s="356"/>
      <c r="BX193" s="356"/>
      <c r="BY193" s="356"/>
      <c r="BZ193" s="356"/>
      <c r="CA193" s="356"/>
      <c r="CB193" s="356"/>
      <c r="CC193" s="356"/>
      <c r="CD193" s="356"/>
      <c r="CE193" s="356"/>
      <c r="CF193" s="356"/>
      <c r="CG193" s="356"/>
      <c r="CH193" s="356"/>
      <c r="CI193" s="356"/>
      <c r="CJ193" s="356"/>
      <c r="CK193" s="356"/>
      <c r="CL193" s="356"/>
      <c r="CM193" s="356"/>
      <c r="CN193" s="356"/>
      <c r="CO193" s="356"/>
      <c r="CP193" s="356"/>
      <c r="CQ193" s="356"/>
      <c r="CR193" s="356"/>
      <c r="CS193" s="356"/>
      <c r="CT193" s="356"/>
      <c r="CU193" s="356"/>
      <c r="CV193" s="356"/>
      <c r="CW193" s="356"/>
      <c r="CX193" s="356"/>
      <c r="CY193" s="356"/>
      <c r="CZ193" s="356"/>
      <c r="DA193" s="356"/>
      <c r="DB193" s="356"/>
      <c r="DC193" s="356"/>
      <c r="DD193" s="356"/>
      <c r="DE193" s="356"/>
      <c r="DF193" s="356"/>
      <c r="DG193" s="356"/>
      <c r="DH193" s="356"/>
      <c r="DI193" s="356"/>
      <c r="DJ193" s="356"/>
      <c r="DK193" s="356"/>
      <c r="DL193" s="356"/>
      <c r="DM193" s="356"/>
      <c r="DN193" s="356"/>
      <c r="DO193" s="356"/>
      <c r="DP193" s="356"/>
      <c r="DQ193" s="356"/>
      <c r="DR193" s="356"/>
      <c r="DS193" s="356"/>
      <c r="DT193" s="356"/>
      <c r="DU193" s="356"/>
      <c r="DV193" s="356"/>
      <c r="DW193" s="356"/>
      <c r="DX193" s="356"/>
      <c r="DY193" s="356"/>
      <c r="DZ193" s="356"/>
      <c r="EA193" s="356"/>
      <c r="EB193" s="356"/>
      <c r="EC193" s="356"/>
      <c r="ED193" s="356"/>
      <c r="EE193" s="356"/>
      <c r="EF193" s="356"/>
      <c r="EG193" s="356"/>
      <c r="EH193" s="356"/>
      <c r="EI193" s="356"/>
      <c r="EJ193" s="356"/>
      <c r="EK193" s="356"/>
      <c r="EL193" s="356"/>
      <c r="EM193" s="356"/>
      <c r="EN193" s="356"/>
      <c r="EO193" s="356"/>
      <c r="EP193" s="356"/>
      <c r="EQ193" s="356"/>
      <c r="ER193" s="356"/>
      <c r="ES193" s="356"/>
      <c r="ET193" s="356"/>
      <c r="EU193" s="356"/>
      <c r="EV193" s="356"/>
      <c r="EW193" s="356"/>
      <c r="EX193" s="356"/>
      <c r="EY193" s="356"/>
      <c r="EZ193" s="356"/>
      <c r="FA193" s="356"/>
      <c r="FB193" s="356"/>
      <c r="FC193" s="356"/>
      <c r="FD193" s="356"/>
      <c r="FE193" s="356"/>
      <c r="FF193" s="356"/>
      <c r="FG193" s="356"/>
      <c r="FH193" s="356"/>
      <c r="FI193" s="356"/>
      <c r="FJ193" s="356"/>
      <c r="FK193" s="356"/>
      <c r="FL193" s="356"/>
      <c r="FM193" s="356"/>
      <c r="FN193" s="356"/>
      <c r="FO193" s="356"/>
      <c r="FP193" s="356"/>
      <c r="FQ193" s="356"/>
      <c r="FR193" s="356"/>
      <c r="FS193" s="356"/>
      <c r="FT193" s="356"/>
      <c r="FU193" s="356"/>
      <c r="FV193" s="356"/>
      <c r="FW193" s="356"/>
      <c r="FX193" s="356"/>
      <c r="FY193" s="356"/>
      <c r="FZ193" s="356"/>
      <c r="GA193" s="356"/>
      <c r="GB193" s="356"/>
      <c r="GC193" s="356"/>
      <c r="GD193" s="356"/>
      <c r="GE193" s="356"/>
      <c r="GF193" s="356"/>
      <c r="GG193" s="356"/>
      <c r="GH193" s="356"/>
      <c r="GI193" s="356"/>
      <c r="GJ193" s="356"/>
      <c r="GK193" s="356"/>
      <c r="GL193" s="356"/>
      <c r="GM193" s="356"/>
      <c r="GN193" s="356"/>
      <c r="GO193" s="356"/>
      <c r="GP193" s="356"/>
      <c r="GQ193" s="356"/>
      <c r="GR193" s="356"/>
      <c r="GS193" s="356"/>
      <c r="GT193" s="356"/>
      <c r="GU193" s="356"/>
      <c r="GV193" s="356"/>
      <c r="GW193" s="356"/>
      <c r="GX193" s="356"/>
      <c r="GY193" s="356"/>
      <c r="GZ193" s="356"/>
      <c r="HA193" s="356"/>
      <c r="HB193" s="356"/>
      <c r="HC193" s="356"/>
      <c r="HD193" s="356"/>
      <c r="HE193" s="356"/>
      <c r="HF193" s="356"/>
      <c r="HG193" s="356"/>
      <c r="HH193" s="356"/>
      <c r="HI193" s="356"/>
      <c r="HJ193" s="356"/>
      <c r="HK193" s="356"/>
      <c r="HL193" s="356"/>
      <c r="HM193" s="356"/>
      <c r="HN193" s="356"/>
      <c r="HO193" s="356"/>
      <c r="HP193" s="356"/>
      <c r="HQ193" s="356"/>
      <c r="HR193" s="356"/>
      <c r="HS193" s="356"/>
      <c r="HT193" s="356"/>
      <c r="HU193" s="356"/>
      <c r="HV193" s="356"/>
      <c r="HW193" s="356"/>
      <c r="HX193" s="356"/>
      <c r="HY193" s="356"/>
      <c r="HZ193" s="356"/>
      <c r="IA193" s="356"/>
      <c r="IB193" s="356"/>
      <c r="IC193" s="356"/>
      <c r="ID193" s="356"/>
      <c r="IE193" s="356"/>
      <c r="IF193" s="356"/>
      <c r="IG193" s="356"/>
      <c r="IH193" s="356"/>
      <c r="II193" s="356"/>
      <c r="IJ193" s="356"/>
      <c r="IK193" s="356"/>
      <c r="IL193" s="356"/>
      <c r="IM193" s="356"/>
      <c r="IN193" s="356"/>
      <c r="IO193" s="356"/>
      <c r="IP193" s="356"/>
      <c r="IQ193" s="356"/>
      <c r="IR193" s="356"/>
      <c r="IS193" s="356"/>
      <c r="IT193" s="356"/>
      <c r="IU193" s="356"/>
      <c r="IV193" s="356"/>
    </row>
    <row r="194" spans="1:256" s="357" customFormat="1" ht="26.25" thickBot="1">
      <c r="A194" s="356"/>
      <c r="B194" s="647" t="s">
        <v>1725</v>
      </c>
      <c r="C194" s="408" t="s">
        <v>386</v>
      </c>
      <c r="D194" s="463" t="s">
        <v>387</v>
      </c>
      <c r="E194" s="464" t="s">
        <v>106</v>
      </c>
      <c r="F194" s="463">
        <v>1</v>
      </c>
      <c r="G194" s="465">
        <f>COMPOSIÇÕES!F307</f>
        <v>840.75834</v>
      </c>
      <c r="H194" s="482">
        <f>'ADITIVO - PLANILHA ORÇAMETARIA '!G194*'ADITIVO - PLANILHA ORÇAMETARIA '!F194</f>
        <v>840.75834</v>
      </c>
      <c r="I194" s="628">
        <f t="shared" si="4"/>
        <v>1058.178446724</v>
      </c>
      <c r="J194" s="356">
        <v>811.2128</v>
      </c>
      <c r="K194" s="356"/>
      <c r="L194" s="356"/>
      <c r="M194" s="356"/>
      <c r="N194" s="356"/>
      <c r="O194" s="356"/>
      <c r="P194" s="356"/>
      <c r="Q194" s="356"/>
      <c r="R194" s="356"/>
      <c r="S194" s="356"/>
      <c r="T194" s="356"/>
      <c r="U194" s="356"/>
      <c r="V194" s="356"/>
      <c r="W194" s="356"/>
      <c r="X194" s="356"/>
      <c r="Y194" s="356"/>
      <c r="Z194" s="356"/>
      <c r="AA194" s="356"/>
      <c r="AB194" s="356"/>
      <c r="AC194" s="356"/>
      <c r="AD194" s="356"/>
      <c r="AE194" s="356"/>
      <c r="AF194" s="356"/>
      <c r="AG194" s="356"/>
      <c r="AH194" s="356"/>
      <c r="AI194" s="356"/>
      <c r="AJ194" s="356"/>
      <c r="AK194" s="356"/>
      <c r="AL194" s="356"/>
      <c r="AM194" s="356"/>
      <c r="AN194" s="356"/>
      <c r="AO194" s="356"/>
      <c r="AP194" s="356"/>
      <c r="AQ194" s="356"/>
      <c r="AR194" s="356"/>
      <c r="AS194" s="356"/>
      <c r="AT194" s="356"/>
      <c r="AU194" s="356"/>
      <c r="AV194" s="356"/>
      <c r="AW194" s="356"/>
      <c r="AX194" s="356"/>
      <c r="AY194" s="356"/>
      <c r="AZ194" s="356"/>
      <c r="BA194" s="356"/>
      <c r="BB194" s="356"/>
      <c r="BC194" s="356"/>
      <c r="BD194" s="356"/>
      <c r="BE194" s="356"/>
      <c r="BF194" s="356"/>
      <c r="BG194" s="356"/>
      <c r="BH194" s="356"/>
      <c r="BI194" s="356"/>
      <c r="BJ194" s="356"/>
      <c r="BK194" s="356"/>
      <c r="BL194" s="356"/>
      <c r="BM194" s="356"/>
      <c r="BN194" s="356"/>
      <c r="BO194" s="356"/>
      <c r="BP194" s="356"/>
      <c r="BQ194" s="356"/>
      <c r="BR194" s="356"/>
      <c r="BS194" s="356"/>
      <c r="BT194" s="356"/>
      <c r="BU194" s="356"/>
      <c r="BV194" s="356"/>
      <c r="BW194" s="356"/>
      <c r="BX194" s="356"/>
      <c r="BY194" s="356"/>
      <c r="BZ194" s="356"/>
      <c r="CA194" s="356"/>
      <c r="CB194" s="356"/>
      <c r="CC194" s="356"/>
      <c r="CD194" s="356"/>
      <c r="CE194" s="356"/>
      <c r="CF194" s="356"/>
      <c r="CG194" s="356"/>
      <c r="CH194" s="356"/>
      <c r="CI194" s="356"/>
      <c r="CJ194" s="356"/>
      <c r="CK194" s="356"/>
      <c r="CL194" s="356"/>
      <c r="CM194" s="356"/>
      <c r="CN194" s="356"/>
      <c r="CO194" s="356"/>
      <c r="CP194" s="356"/>
      <c r="CQ194" s="356"/>
      <c r="CR194" s="356"/>
      <c r="CS194" s="356"/>
      <c r="CT194" s="356"/>
      <c r="CU194" s="356"/>
      <c r="CV194" s="356"/>
      <c r="CW194" s="356"/>
      <c r="CX194" s="356"/>
      <c r="CY194" s="356"/>
      <c r="CZ194" s="356"/>
      <c r="DA194" s="356"/>
      <c r="DB194" s="356"/>
      <c r="DC194" s="356"/>
      <c r="DD194" s="356"/>
      <c r="DE194" s="356"/>
      <c r="DF194" s="356"/>
      <c r="DG194" s="356"/>
      <c r="DH194" s="356"/>
      <c r="DI194" s="356"/>
      <c r="DJ194" s="356"/>
      <c r="DK194" s="356"/>
      <c r="DL194" s="356"/>
      <c r="DM194" s="356"/>
      <c r="DN194" s="356"/>
      <c r="DO194" s="356"/>
      <c r="DP194" s="356"/>
      <c r="DQ194" s="356"/>
      <c r="DR194" s="356"/>
      <c r="DS194" s="356"/>
      <c r="DT194" s="356"/>
      <c r="DU194" s="356"/>
      <c r="DV194" s="356"/>
      <c r="DW194" s="356"/>
      <c r="DX194" s="356"/>
      <c r="DY194" s="356"/>
      <c r="DZ194" s="356"/>
      <c r="EA194" s="356"/>
      <c r="EB194" s="356"/>
      <c r="EC194" s="356"/>
      <c r="ED194" s="356"/>
      <c r="EE194" s="356"/>
      <c r="EF194" s="356"/>
      <c r="EG194" s="356"/>
      <c r="EH194" s="356"/>
      <c r="EI194" s="356"/>
      <c r="EJ194" s="356"/>
      <c r="EK194" s="356"/>
      <c r="EL194" s="356"/>
      <c r="EM194" s="356"/>
      <c r="EN194" s="356"/>
      <c r="EO194" s="356"/>
      <c r="EP194" s="356"/>
      <c r="EQ194" s="356"/>
      <c r="ER194" s="356"/>
      <c r="ES194" s="356"/>
      <c r="ET194" s="356"/>
      <c r="EU194" s="356"/>
      <c r="EV194" s="356"/>
      <c r="EW194" s="356"/>
      <c r="EX194" s="356"/>
      <c r="EY194" s="356"/>
      <c r="EZ194" s="356"/>
      <c r="FA194" s="356"/>
      <c r="FB194" s="356"/>
      <c r="FC194" s="356"/>
      <c r="FD194" s="356"/>
      <c r="FE194" s="356"/>
      <c r="FF194" s="356"/>
      <c r="FG194" s="356"/>
      <c r="FH194" s="356"/>
      <c r="FI194" s="356"/>
      <c r="FJ194" s="356"/>
      <c r="FK194" s="356"/>
      <c r="FL194" s="356"/>
      <c r="FM194" s="356"/>
      <c r="FN194" s="356"/>
      <c r="FO194" s="356"/>
      <c r="FP194" s="356"/>
      <c r="FQ194" s="356"/>
      <c r="FR194" s="356"/>
      <c r="FS194" s="356"/>
      <c r="FT194" s="356"/>
      <c r="FU194" s="356"/>
      <c r="FV194" s="356"/>
      <c r="FW194" s="356"/>
      <c r="FX194" s="356"/>
      <c r="FY194" s="356"/>
      <c r="FZ194" s="356"/>
      <c r="GA194" s="356"/>
      <c r="GB194" s="356"/>
      <c r="GC194" s="356"/>
      <c r="GD194" s="356"/>
      <c r="GE194" s="356"/>
      <c r="GF194" s="356"/>
      <c r="GG194" s="356"/>
      <c r="GH194" s="356"/>
      <c r="GI194" s="356"/>
      <c r="GJ194" s="356"/>
      <c r="GK194" s="356"/>
      <c r="GL194" s="356"/>
      <c r="GM194" s="356"/>
      <c r="GN194" s="356"/>
      <c r="GO194" s="356"/>
      <c r="GP194" s="356"/>
      <c r="GQ194" s="356"/>
      <c r="GR194" s="356"/>
      <c r="GS194" s="356"/>
      <c r="GT194" s="356"/>
      <c r="GU194" s="356"/>
      <c r="GV194" s="356"/>
      <c r="GW194" s="356"/>
      <c r="GX194" s="356"/>
      <c r="GY194" s="356"/>
      <c r="GZ194" s="356"/>
      <c r="HA194" s="356"/>
      <c r="HB194" s="356"/>
      <c r="HC194" s="356"/>
      <c r="HD194" s="356"/>
      <c r="HE194" s="356"/>
      <c r="HF194" s="356"/>
      <c r="HG194" s="356"/>
      <c r="HH194" s="356"/>
      <c r="HI194" s="356"/>
      <c r="HJ194" s="356"/>
      <c r="HK194" s="356"/>
      <c r="HL194" s="356"/>
      <c r="HM194" s="356"/>
      <c r="HN194" s="356"/>
      <c r="HO194" s="356"/>
      <c r="HP194" s="356"/>
      <c r="HQ194" s="356"/>
      <c r="HR194" s="356"/>
      <c r="HS194" s="356"/>
      <c r="HT194" s="356"/>
      <c r="HU194" s="356"/>
      <c r="HV194" s="356"/>
      <c r="HW194" s="356"/>
      <c r="HX194" s="356"/>
      <c r="HY194" s="356"/>
      <c r="HZ194" s="356"/>
      <c r="IA194" s="356"/>
      <c r="IB194" s="356"/>
      <c r="IC194" s="356"/>
      <c r="ID194" s="356"/>
      <c r="IE194" s="356"/>
      <c r="IF194" s="356"/>
      <c r="IG194" s="356"/>
      <c r="IH194" s="356"/>
      <c r="II194" s="356"/>
      <c r="IJ194" s="356"/>
      <c r="IK194" s="356"/>
      <c r="IL194" s="356"/>
      <c r="IM194" s="356"/>
      <c r="IN194" s="356"/>
      <c r="IO194" s="356"/>
      <c r="IP194" s="356"/>
      <c r="IQ194" s="356"/>
      <c r="IR194" s="356"/>
      <c r="IS194" s="356"/>
      <c r="IT194" s="356"/>
      <c r="IU194" s="356"/>
      <c r="IV194" s="356"/>
    </row>
    <row r="195" spans="2:9" ht="16.5" thickBot="1">
      <c r="B195" s="613"/>
      <c r="C195" s="225"/>
      <c r="D195" s="272"/>
      <c r="E195" s="273"/>
      <c r="F195" s="272"/>
      <c r="G195" s="274"/>
      <c r="H195" s="478"/>
      <c r="I195" s="636"/>
    </row>
    <row r="196" spans="1:256" ht="15.75">
      <c r="A196" s="205"/>
      <c r="B196" s="637" t="s">
        <v>393</v>
      </c>
      <c r="C196" s="222"/>
      <c r="D196" s="333" t="s">
        <v>389</v>
      </c>
      <c r="E196" s="221"/>
      <c r="F196" s="222"/>
      <c r="G196" s="222"/>
      <c r="H196" s="476">
        <f>ROUND(SUM(H197:H198),2)</f>
        <v>71519.94</v>
      </c>
      <c r="I196" s="616">
        <f t="shared" si="4"/>
        <v>90014.996484</v>
      </c>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205"/>
      <c r="BW196" s="205"/>
      <c r="BX196" s="205"/>
      <c r="BY196" s="205"/>
      <c r="BZ196" s="205"/>
      <c r="CA196" s="205"/>
      <c r="CB196" s="205"/>
      <c r="CC196" s="205"/>
      <c r="CD196" s="205"/>
      <c r="CE196" s="205"/>
      <c r="CF196" s="205"/>
      <c r="CG196" s="205"/>
      <c r="CH196" s="205"/>
      <c r="CI196" s="205"/>
      <c r="CJ196" s="205"/>
      <c r="CK196" s="205"/>
      <c r="CL196" s="205"/>
      <c r="CM196" s="205"/>
      <c r="CN196" s="205"/>
      <c r="CO196" s="205"/>
      <c r="CP196" s="205"/>
      <c r="CQ196" s="205"/>
      <c r="CR196" s="205"/>
      <c r="CS196" s="205"/>
      <c r="CT196" s="205"/>
      <c r="CU196" s="205"/>
      <c r="CV196" s="205"/>
      <c r="CW196" s="205"/>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205"/>
      <c r="GQ196" s="205"/>
      <c r="GR196" s="205"/>
      <c r="GS196" s="205"/>
      <c r="GT196" s="205"/>
      <c r="GU196" s="205"/>
      <c r="GV196" s="205"/>
      <c r="GW196" s="205"/>
      <c r="GX196" s="205"/>
      <c r="GY196" s="205"/>
      <c r="GZ196" s="205"/>
      <c r="HA196" s="205"/>
      <c r="HB196" s="205"/>
      <c r="HC196" s="205"/>
      <c r="HD196" s="205"/>
      <c r="HE196" s="205"/>
      <c r="HF196" s="205"/>
      <c r="HG196" s="205"/>
      <c r="HH196" s="205"/>
      <c r="HI196" s="205"/>
      <c r="HJ196" s="205"/>
      <c r="HK196" s="205"/>
      <c r="HL196" s="205"/>
      <c r="HM196" s="205"/>
      <c r="HN196" s="205"/>
      <c r="HO196" s="205"/>
      <c r="HP196" s="205"/>
      <c r="HQ196" s="205"/>
      <c r="HR196" s="205"/>
      <c r="HS196" s="205"/>
      <c r="HT196" s="205"/>
      <c r="HU196" s="205"/>
      <c r="HV196" s="205"/>
      <c r="HW196" s="205"/>
      <c r="HX196" s="205"/>
      <c r="HY196" s="205"/>
      <c r="HZ196" s="205"/>
      <c r="IA196" s="205"/>
      <c r="IB196" s="205"/>
      <c r="IC196" s="205"/>
      <c r="ID196" s="205"/>
      <c r="IE196" s="205"/>
      <c r="IF196" s="205"/>
      <c r="IG196" s="205"/>
      <c r="IH196" s="205"/>
      <c r="II196" s="205"/>
      <c r="IJ196" s="205"/>
      <c r="IK196" s="205"/>
      <c r="IL196" s="205"/>
      <c r="IM196" s="205"/>
      <c r="IN196" s="205"/>
      <c r="IO196" s="205"/>
      <c r="IP196" s="205"/>
      <c r="IQ196" s="205"/>
      <c r="IR196" s="205"/>
      <c r="IS196" s="205"/>
      <c r="IT196" s="205"/>
      <c r="IU196" s="205"/>
      <c r="IV196" s="205"/>
    </row>
    <row r="197" spans="1:11" s="352" customFormat="1" ht="16.5" thickBot="1">
      <c r="A197" s="349"/>
      <c r="B197" s="619" t="s">
        <v>395</v>
      </c>
      <c r="C197" s="413" t="s">
        <v>391</v>
      </c>
      <c r="D197" s="419" t="s">
        <v>392</v>
      </c>
      <c r="E197" s="415" t="s">
        <v>18</v>
      </c>
      <c r="F197" s="413">
        <v>1</v>
      </c>
      <c r="G197" s="416">
        <f>COMPOSIÇÕES!F63</f>
        <v>71519.94</v>
      </c>
      <c r="H197" s="480">
        <f>'ADITIVO - PLANILHA ORÇAMETARIA '!G197*'ADITIVO - PLANILHA ORÇAMETARIA '!F197</f>
        <v>71519.94</v>
      </c>
      <c r="I197" s="620">
        <f t="shared" si="4"/>
        <v>90014.996484</v>
      </c>
      <c r="J197" s="350">
        <v>65508.36</v>
      </c>
      <c r="K197" s="351"/>
    </row>
    <row r="198" spans="2:9" ht="16.5" thickBot="1">
      <c r="B198" s="613"/>
      <c r="C198" s="225"/>
      <c r="D198" s="225"/>
      <c r="E198" s="226"/>
      <c r="F198" s="225"/>
      <c r="G198" s="227"/>
      <c r="H198" s="478"/>
      <c r="I198" s="636"/>
    </row>
    <row r="199" spans="1:256" ht="15.75">
      <c r="A199" s="205"/>
      <c r="B199" s="637" t="s">
        <v>1726</v>
      </c>
      <c r="C199" s="222"/>
      <c r="D199" s="220" t="s">
        <v>394</v>
      </c>
      <c r="E199" s="221"/>
      <c r="F199" s="222"/>
      <c r="G199" s="222"/>
      <c r="H199" s="476">
        <f>ROUND(SUM(H200:H201),2)</f>
        <v>75003.14</v>
      </c>
      <c r="I199" s="616">
        <f t="shared" si="4"/>
        <v>94398.95200399999</v>
      </c>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205"/>
      <c r="BW199" s="205"/>
      <c r="BX199" s="205"/>
      <c r="BY199" s="205"/>
      <c r="BZ199" s="205"/>
      <c r="CA199" s="205"/>
      <c r="CB199" s="205"/>
      <c r="CC199" s="205"/>
      <c r="CD199" s="205"/>
      <c r="CE199" s="205"/>
      <c r="CF199" s="205"/>
      <c r="CG199" s="205"/>
      <c r="CH199" s="205"/>
      <c r="CI199" s="205"/>
      <c r="CJ199" s="205"/>
      <c r="CK199" s="205"/>
      <c r="CL199" s="205"/>
      <c r="CM199" s="205"/>
      <c r="CN199" s="205"/>
      <c r="CO199" s="205"/>
      <c r="CP199" s="205"/>
      <c r="CQ199" s="205"/>
      <c r="CR199" s="205"/>
      <c r="CS199" s="205"/>
      <c r="CT199" s="205"/>
      <c r="CU199" s="205"/>
      <c r="CV199" s="205"/>
      <c r="CW199" s="205"/>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205"/>
      <c r="GP199" s="205"/>
      <c r="GQ199" s="205"/>
      <c r="GR199" s="205"/>
      <c r="GS199" s="205"/>
      <c r="GT199" s="205"/>
      <c r="GU199" s="205"/>
      <c r="GV199" s="205"/>
      <c r="GW199" s="205"/>
      <c r="GX199" s="205"/>
      <c r="GY199" s="205"/>
      <c r="GZ199" s="205"/>
      <c r="HA199" s="205"/>
      <c r="HB199" s="205"/>
      <c r="HC199" s="205"/>
      <c r="HD199" s="205"/>
      <c r="HE199" s="205"/>
      <c r="HF199" s="205"/>
      <c r="HG199" s="205"/>
      <c r="HH199" s="205"/>
      <c r="HI199" s="205"/>
      <c r="HJ199" s="205"/>
      <c r="HK199" s="205"/>
      <c r="HL199" s="205"/>
      <c r="HM199" s="205"/>
      <c r="HN199" s="205"/>
      <c r="HO199" s="205"/>
      <c r="HP199" s="205"/>
      <c r="HQ199" s="205"/>
      <c r="HR199" s="205"/>
      <c r="HS199" s="205"/>
      <c r="HT199" s="205"/>
      <c r="HU199" s="205"/>
      <c r="HV199" s="205"/>
      <c r="HW199" s="205"/>
      <c r="HX199" s="205"/>
      <c r="HY199" s="205"/>
      <c r="HZ199" s="205"/>
      <c r="IA199" s="205"/>
      <c r="IB199" s="205"/>
      <c r="IC199" s="205"/>
      <c r="ID199" s="205"/>
      <c r="IE199" s="205"/>
      <c r="IF199" s="205"/>
      <c r="IG199" s="205"/>
      <c r="IH199" s="205"/>
      <c r="II199" s="205"/>
      <c r="IJ199" s="205"/>
      <c r="IK199" s="205"/>
      <c r="IL199" s="205"/>
      <c r="IM199" s="205"/>
      <c r="IN199" s="205"/>
      <c r="IO199" s="205"/>
      <c r="IP199" s="205"/>
      <c r="IQ199" s="205"/>
      <c r="IR199" s="205"/>
      <c r="IS199" s="205"/>
      <c r="IT199" s="205"/>
      <c r="IU199" s="205"/>
      <c r="IV199" s="205"/>
    </row>
    <row r="200" spans="1:256" s="357" customFormat="1" ht="15.75">
      <c r="A200" s="356"/>
      <c r="B200" s="647" t="s">
        <v>1727</v>
      </c>
      <c r="C200" s="409" t="s">
        <v>1653</v>
      </c>
      <c r="D200" s="409" t="s">
        <v>396</v>
      </c>
      <c r="E200" s="410" t="s">
        <v>26</v>
      </c>
      <c r="F200" s="408">
        <v>574.62</v>
      </c>
      <c r="G200" s="412">
        <v>73.31</v>
      </c>
      <c r="H200" s="482">
        <f>G200*F200</f>
        <v>42125.3922</v>
      </c>
      <c r="I200" s="627">
        <f t="shared" si="4"/>
        <v>53019.01862292</v>
      </c>
      <c r="J200" s="356">
        <v>84.94</v>
      </c>
      <c r="K200" s="356"/>
      <c r="L200" s="356"/>
      <c r="M200" s="356"/>
      <c r="N200" s="356"/>
      <c r="O200" s="356"/>
      <c r="P200" s="356"/>
      <c r="Q200" s="356"/>
      <c r="R200" s="356"/>
      <c r="S200" s="356"/>
      <c r="T200" s="356"/>
      <c r="U200" s="356"/>
      <c r="V200" s="356"/>
      <c r="W200" s="356"/>
      <c r="X200" s="356"/>
      <c r="Y200" s="356"/>
      <c r="Z200" s="356"/>
      <c r="AA200" s="356"/>
      <c r="AB200" s="356"/>
      <c r="AC200" s="356"/>
      <c r="AD200" s="356"/>
      <c r="AE200" s="356"/>
      <c r="AF200" s="356"/>
      <c r="AG200" s="356"/>
      <c r="AH200" s="356"/>
      <c r="AI200" s="356"/>
      <c r="AJ200" s="356"/>
      <c r="AK200" s="356"/>
      <c r="AL200" s="356"/>
      <c r="AM200" s="356"/>
      <c r="AN200" s="356"/>
      <c r="AO200" s="356"/>
      <c r="AP200" s="356"/>
      <c r="AQ200" s="356"/>
      <c r="AR200" s="356"/>
      <c r="AS200" s="356"/>
      <c r="AT200" s="356"/>
      <c r="AU200" s="356"/>
      <c r="AV200" s="356"/>
      <c r="AW200" s="356"/>
      <c r="AX200" s="356"/>
      <c r="AY200" s="356"/>
      <c r="AZ200" s="356"/>
      <c r="BA200" s="356"/>
      <c r="BB200" s="356"/>
      <c r="BC200" s="356"/>
      <c r="BD200" s="356"/>
      <c r="BE200" s="356"/>
      <c r="BF200" s="356"/>
      <c r="BG200" s="356"/>
      <c r="BH200" s="356"/>
      <c r="BI200" s="356"/>
      <c r="BJ200" s="356"/>
      <c r="BK200" s="356"/>
      <c r="BL200" s="356"/>
      <c r="BM200" s="356"/>
      <c r="BN200" s="356"/>
      <c r="BO200" s="356"/>
      <c r="BP200" s="356"/>
      <c r="BQ200" s="356"/>
      <c r="BR200" s="356"/>
      <c r="BS200" s="356"/>
      <c r="BT200" s="356"/>
      <c r="BU200" s="356"/>
      <c r="BV200" s="356"/>
      <c r="BW200" s="356"/>
      <c r="BX200" s="356"/>
      <c r="BY200" s="356"/>
      <c r="BZ200" s="356"/>
      <c r="CA200" s="356"/>
      <c r="CB200" s="356"/>
      <c r="CC200" s="356"/>
      <c r="CD200" s="356"/>
      <c r="CE200" s="356"/>
      <c r="CF200" s="356"/>
      <c r="CG200" s="356"/>
      <c r="CH200" s="356"/>
      <c r="CI200" s="356"/>
      <c r="CJ200" s="356"/>
      <c r="CK200" s="356"/>
      <c r="CL200" s="356"/>
      <c r="CM200" s="356"/>
      <c r="CN200" s="356"/>
      <c r="CO200" s="356"/>
      <c r="CP200" s="356"/>
      <c r="CQ200" s="356"/>
      <c r="CR200" s="356"/>
      <c r="CS200" s="356"/>
      <c r="CT200" s="356"/>
      <c r="CU200" s="356"/>
      <c r="CV200" s="356"/>
      <c r="CW200" s="356"/>
      <c r="CX200" s="356"/>
      <c r="CY200" s="356"/>
      <c r="CZ200" s="356"/>
      <c r="DA200" s="356"/>
      <c r="DB200" s="356"/>
      <c r="DC200" s="356"/>
      <c r="DD200" s="356"/>
      <c r="DE200" s="356"/>
      <c r="DF200" s="356"/>
      <c r="DG200" s="356"/>
      <c r="DH200" s="356"/>
      <c r="DI200" s="356"/>
      <c r="DJ200" s="356"/>
      <c r="DK200" s="356"/>
      <c r="DL200" s="356"/>
      <c r="DM200" s="356"/>
      <c r="DN200" s="356"/>
      <c r="DO200" s="356"/>
      <c r="DP200" s="356"/>
      <c r="DQ200" s="356"/>
      <c r="DR200" s="356"/>
      <c r="DS200" s="356"/>
      <c r="DT200" s="356"/>
      <c r="DU200" s="356"/>
      <c r="DV200" s="356"/>
      <c r="DW200" s="356"/>
      <c r="DX200" s="356"/>
      <c r="DY200" s="356"/>
      <c r="DZ200" s="356"/>
      <c r="EA200" s="356"/>
      <c r="EB200" s="356"/>
      <c r="EC200" s="356"/>
      <c r="ED200" s="356"/>
      <c r="EE200" s="356"/>
      <c r="EF200" s="356"/>
      <c r="EG200" s="356"/>
      <c r="EH200" s="356"/>
      <c r="EI200" s="356"/>
      <c r="EJ200" s="356"/>
      <c r="EK200" s="356"/>
      <c r="EL200" s="356"/>
      <c r="EM200" s="356"/>
      <c r="EN200" s="356"/>
      <c r="EO200" s="356"/>
      <c r="EP200" s="356"/>
      <c r="EQ200" s="356"/>
      <c r="ER200" s="356"/>
      <c r="ES200" s="356"/>
      <c r="ET200" s="356"/>
      <c r="EU200" s="356"/>
      <c r="EV200" s="356"/>
      <c r="EW200" s="356"/>
      <c r="EX200" s="356"/>
      <c r="EY200" s="356"/>
      <c r="EZ200" s="356"/>
      <c r="FA200" s="356"/>
      <c r="FB200" s="356"/>
      <c r="FC200" s="356"/>
      <c r="FD200" s="356"/>
      <c r="FE200" s="356"/>
      <c r="FF200" s="356"/>
      <c r="FG200" s="356"/>
      <c r="FH200" s="356"/>
      <c r="FI200" s="356"/>
      <c r="FJ200" s="356"/>
      <c r="FK200" s="356"/>
      <c r="FL200" s="356"/>
      <c r="FM200" s="356"/>
      <c r="FN200" s="356"/>
      <c r="FO200" s="356"/>
      <c r="FP200" s="356"/>
      <c r="FQ200" s="356"/>
      <c r="FR200" s="356"/>
      <c r="FS200" s="356"/>
      <c r="FT200" s="356"/>
      <c r="FU200" s="356"/>
      <c r="FV200" s="356"/>
      <c r="FW200" s="356"/>
      <c r="FX200" s="356"/>
      <c r="FY200" s="356"/>
      <c r="FZ200" s="356"/>
      <c r="GA200" s="356"/>
      <c r="GB200" s="356"/>
      <c r="GC200" s="356"/>
      <c r="GD200" s="356"/>
      <c r="GE200" s="356"/>
      <c r="GF200" s="356"/>
      <c r="GG200" s="356"/>
      <c r="GH200" s="356"/>
      <c r="GI200" s="356"/>
      <c r="GJ200" s="356"/>
      <c r="GK200" s="356"/>
      <c r="GL200" s="356"/>
      <c r="GM200" s="356"/>
      <c r="GN200" s="356"/>
      <c r="GO200" s="356"/>
      <c r="GP200" s="356"/>
      <c r="GQ200" s="356"/>
      <c r="GR200" s="356"/>
      <c r="GS200" s="356"/>
      <c r="GT200" s="356"/>
      <c r="GU200" s="356"/>
      <c r="GV200" s="356"/>
      <c r="GW200" s="356"/>
      <c r="GX200" s="356"/>
      <c r="GY200" s="356"/>
      <c r="GZ200" s="356"/>
      <c r="HA200" s="356"/>
      <c r="HB200" s="356"/>
      <c r="HC200" s="356"/>
      <c r="HD200" s="356"/>
      <c r="HE200" s="356"/>
      <c r="HF200" s="356"/>
      <c r="HG200" s="356"/>
      <c r="HH200" s="356"/>
      <c r="HI200" s="356"/>
      <c r="HJ200" s="356"/>
      <c r="HK200" s="356"/>
      <c r="HL200" s="356"/>
      <c r="HM200" s="356"/>
      <c r="HN200" s="356"/>
      <c r="HO200" s="356"/>
      <c r="HP200" s="356"/>
      <c r="HQ200" s="356"/>
      <c r="HR200" s="356"/>
      <c r="HS200" s="356"/>
      <c r="HT200" s="356"/>
      <c r="HU200" s="356"/>
      <c r="HV200" s="356"/>
      <c r="HW200" s="356"/>
      <c r="HX200" s="356"/>
      <c r="HY200" s="356"/>
      <c r="HZ200" s="356"/>
      <c r="IA200" s="356"/>
      <c r="IB200" s="356"/>
      <c r="IC200" s="356"/>
      <c r="ID200" s="356"/>
      <c r="IE200" s="356"/>
      <c r="IF200" s="356"/>
      <c r="IG200" s="356"/>
      <c r="IH200" s="356"/>
      <c r="II200" s="356"/>
      <c r="IJ200" s="356"/>
      <c r="IK200" s="356"/>
      <c r="IL200" s="356"/>
      <c r="IM200" s="356"/>
      <c r="IN200" s="356"/>
      <c r="IO200" s="356"/>
      <c r="IP200" s="356"/>
      <c r="IQ200" s="356"/>
      <c r="IR200" s="356"/>
      <c r="IS200" s="356"/>
      <c r="IT200" s="356"/>
      <c r="IU200" s="356"/>
      <c r="IV200" s="356"/>
    </row>
    <row r="201" spans="1:256" s="357" customFormat="1" ht="26.25" thickBot="1">
      <c r="A201" s="356"/>
      <c r="B201" s="647" t="s">
        <v>1728</v>
      </c>
      <c r="C201" s="408" t="s">
        <v>397</v>
      </c>
      <c r="D201" s="408" t="s">
        <v>398</v>
      </c>
      <c r="E201" s="410" t="s">
        <v>26</v>
      </c>
      <c r="F201" s="408">
        <v>574.62</v>
      </c>
      <c r="G201" s="412">
        <f>COMPOSIÇÕES!F257</f>
        <v>57.216499999999996</v>
      </c>
      <c r="H201" s="482">
        <f>G201*F201</f>
        <v>32877.74523</v>
      </c>
      <c r="I201" s="628">
        <f t="shared" si="4"/>
        <v>41379.930146478</v>
      </c>
      <c r="J201" s="356">
        <v>53.7975</v>
      </c>
      <c r="K201" s="356"/>
      <c r="L201" s="356"/>
      <c r="M201" s="356"/>
      <c r="N201" s="356"/>
      <c r="O201" s="356"/>
      <c r="P201" s="356"/>
      <c r="Q201" s="356"/>
      <c r="R201" s="356"/>
      <c r="S201" s="356"/>
      <c r="T201" s="356"/>
      <c r="U201" s="356"/>
      <c r="V201" s="356"/>
      <c r="W201" s="356"/>
      <c r="X201" s="356"/>
      <c r="Y201" s="356"/>
      <c r="Z201" s="356"/>
      <c r="AA201" s="356"/>
      <c r="AB201" s="356"/>
      <c r="AC201" s="356"/>
      <c r="AD201" s="356"/>
      <c r="AE201" s="356"/>
      <c r="AF201" s="356"/>
      <c r="AG201" s="356"/>
      <c r="AH201" s="356"/>
      <c r="AI201" s="356"/>
      <c r="AJ201" s="356"/>
      <c r="AK201" s="356"/>
      <c r="AL201" s="356"/>
      <c r="AM201" s="356"/>
      <c r="AN201" s="356"/>
      <c r="AO201" s="356"/>
      <c r="AP201" s="356"/>
      <c r="AQ201" s="356"/>
      <c r="AR201" s="356"/>
      <c r="AS201" s="356"/>
      <c r="AT201" s="356"/>
      <c r="AU201" s="356"/>
      <c r="AV201" s="356"/>
      <c r="AW201" s="356"/>
      <c r="AX201" s="356"/>
      <c r="AY201" s="356"/>
      <c r="AZ201" s="356"/>
      <c r="BA201" s="356"/>
      <c r="BB201" s="356"/>
      <c r="BC201" s="356"/>
      <c r="BD201" s="356"/>
      <c r="BE201" s="356"/>
      <c r="BF201" s="356"/>
      <c r="BG201" s="356"/>
      <c r="BH201" s="356"/>
      <c r="BI201" s="356"/>
      <c r="BJ201" s="356"/>
      <c r="BK201" s="356"/>
      <c r="BL201" s="356"/>
      <c r="BM201" s="356"/>
      <c r="BN201" s="356"/>
      <c r="BO201" s="356"/>
      <c r="BP201" s="356"/>
      <c r="BQ201" s="356"/>
      <c r="BR201" s="356"/>
      <c r="BS201" s="356"/>
      <c r="BT201" s="356"/>
      <c r="BU201" s="356"/>
      <c r="BV201" s="356"/>
      <c r="BW201" s="356"/>
      <c r="BX201" s="356"/>
      <c r="BY201" s="356"/>
      <c r="BZ201" s="356"/>
      <c r="CA201" s="356"/>
      <c r="CB201" s="356"/>
      <c r="CC201" s="356"/>
      <c r="CD201" s="356"/>
      <c r="CE201" s="356"/>
      <c r="CF201" s="356"/>
      <c r="CG201" s="356"/>
      <c r="CH201" s="356"/>
      <c r="CI201" s="356"/>
      <c r="CJ201" s="356"/>
      <c r="CK201" s="356"/>
      <c r="CL201" s="356"/>
      <c r="CM201" s="356"/>
      <c r="CN201" s="356"/>
      <c r="CO201" s="356"/>
      <c r="CP201" s="356"/>
      <c r="CQ201" s="356"/>
      <c r="CR201" s="356"/>
      <c r="CS201" s="356"/>
      <c r="CT201" s="356"/>
      <c r="CU201" s="356"/>
      <c r="CV201" s="356"/>
      <c r="CW201" s="356"/>
      <c r="CX201" s="356"/>
      <c r="CY201" s="356"/>
      <c r="CZ201" s="356"/>
      <c r="DA201" s="356"/>
      <c r="DB201" s="356"/>
      <c r="DC201" s="356"/>
      <c r="DD201" s="356"/>
      <c r="DE201" s="356"/>
      <c r="DF201" s="356"/>
      <c r="DG201" s="356"/>
      <c r="DH201" s="356"/>
      <c r="DI201" s="356"/>
      <c r="DJ201" s="356"/>
      <c r="DK201" s="356"/>
      <c r="DL201" s="356"/>
      <c r="DM201" s="356"/>
      <c r="DN201" s="356"/>
      <c r="DO201" s="356"/>
      <c r="DP201" s="356"/>
      <c r="DQ201" s="356"/>
      <c r="DR201" s="356"/>
      <c r="DS201" s="356"/>
      <c r="DT201" s="356"/>
      <c r="DU201" s="356"/>
      <c r="DV201" s="356"/>
      <c r="DW201" s="356"/>
      <c r="DX201" s="356"/>
      <c r="DY201" s="356"/>
      <c r="DZ201" s="356"/>
      <c r="EA201" s="356"/>
      <c r="EB201" s="356"/>
      <c r="EC201" s="356"/>
      <c r="ED201" s="356"/>
      <c r="EE201" s="356"/>
      <c r="EF201" s="356"/>
      <c r="EG201" s="356"/>
      <c r="EH201" s="356"/>
      <c r="EI201" s="356"/>
      <c r="EJ201" s="356"/>
      <c r="EK201" s="356"/>
      <c r="EL201" s="356"/>
      <c r="EM201" s="356"/>
      <c r="EN201" s="356"/>
      <c r="EO201" s="356"/>
      <c r="EP201" s="356"/>
      <c r="EQ201" s="356"/>
      <c r="ER201" s="356"/>
      <c r="ES201" s="356"/>
      <c r="ET201" s="356"/>
      <c r="EU201" s="356"/>
      <c r="EV201" s="356"/>
      <c r="EW201" s="356"/>
      <c r="EX201" s="356"/>
      <c r="EY201" s="356"/>
      <c r="EZ201" s="356"/>
      <c r="FA201" s="356"/>
      <c r="FB201" s="356"/>
      <c r="FC201" s="356"/>
      <c r="FD201" s="356"/>
      <c r="FE201" s="356"/>
      <c r="FF201" s="356"/>
      <c r="FG201" s="356"/>
      <c r="FH201" s="356"/>
      <c r="FI201" s="356"/>
      <c r="FJ201" s="356"/>
      <c r="FK201" s="356"/>
      <c r="FL201" s="356"/>
      <c r="FM201" s="356"/>
      <c r="FN201" s="356"/>
      <c r="FO201" s="356"/>
      <c r="FP201" s="356"/>
      <c r="FQ201" s="356"/>
      <c r="FR201" s="356"/>
      <c r="FS201" s="356"/>
      <c r="FT201" s="356"/>
      <c r="FU201" s="356"/>
      <c r="FV201" s="356"/>
      <c r="FW201" s="356"/>
      <c r="FX201" s="356"/>
      <c r="FY201" s="356"/>
      <c r="FZ201" s="356"/>
      <c r="GA201" s="356"/>
      <c r="GB201" s="356"/>
      <c r="GC201" s="356"/>
      <c r="GD201" s="356"/>
      <c r="GE201" s="356"/>
      <c r="GF201" s="356"/>
      <c r="GG201" s="356"/>
      <c r="GH201" s="356"/>
      <c r="GI201" s="356"/>
      <c r="GJ201" s="356"/>
      <c r="GK201" s="356"/>
      <c r="GL201" s="356"/>
      <c r="GM201" s="356"/>
      <c r="GN201" s="356"/>
      <c r="GO201" s="356"/>
      <c r="GP201" s="356"/>
      <c r="GQ201" s="356"/>
      <c r="GR201" s="356"/>
      <c r="GS201" s="356"/>
      <c r="GT201" s="356"/>
      <c r="GU201" s="356"/>
      <c r="GV201" s="356"/>
      <c r="GW201" s="356"/>
      <c r="GX201" s="356"/>
      <c r="GY201" s="356"/>
      <c r="GZ201" s="356"/>
      <c r="HA201" s="356"/>
      <c r="HB201" s="356"/>
      <c r="HC201" s="356"/>
      <c r="HD201" s="356"/>
      <c r="HE201" s="356"/>
      <c r="HF201" s="356"/>
      <c r="HG201" s="356"/>
      <c r="HH201" s="356"/>
      <c r="HI201" s="356"/>
      <c r="HJ201" s="356"/>
      <c r="HK201" s="356"/>
      <c r="HL201" s="356"/>
      <c r="HM201" s="356"/>
      <c r="HN201" s="356"/>
      <c r="HO201" s="356"/>
      <c r="HP201" s="356"/>
      <c r="HQ201" s="356"/>
      <c r="HR201" s="356"/>
      <c r="HS201" s="356"/>
      <c r="HT201" s="356"/>
      <c r="HU201" s="356"/>
      <c r="HV201" s="356"/>
      <c r="HW201" s="356"/>
      <c r="HX201" s="356"/>
      <c r="HY201" s="356"/>
      <c r="HZ201" s="356"/>
      <c r="IA201" s="356"/>
      <c r="IB201" s="356"/>
      <c r="IC201" s="356"/>
      <c r="ID201" s="356"/>
      <c r="IE201" s="356"/>
      <c r="IF201" s="356"/>
      <c r="IG201" s="356"/>
      <c r="IH201" s="356"/>
      <c r="II201" s="356"/>
      <c r="IJ201" s="356"/>
      <c r="IK201" s="356"/>
      <c r="IL201" s="356"/>
      <c r="IM201" s="356"/>
      <c r="IN201" s="356"/>
      <c r="IO201" s="356"/>
      <c r="IP201" s="356"/>
      <c r="IQ201" s="356"/>
      <c r="IR201" s="356"/>
      <c r="IS201" s="356"/>
      <c r="IT201" s="356"/>
      <c r="IU201" s="356"/>
      <c r="IV201" s="356"/>
    </row>
    <row r="202" spans="2:9" ht="16.5" thickBot="1">
      <c r="B202" s="613"/>
      <c r="C202" s="225"/>
      <c r="D202" s="225"/>
      <c r="E202" s="226"/>
      <c r="F202" s="225"/>
      <c r="G202" s="227"/>
      <c r="H202" s="478"/>
      <c r="I202" s="636"/>
    </row>
    <row r="203" spans="2:9" ht="12.75" customHeight="1">
      <c r="B203" s="609" t="s">
        <v>399</v>
      </c>
      <c r="C203" s="222"/>
      <c r="D203" s="220" t="s">
        <v>400</v>
      </c>
      <c r="E203" s="221"/>
      <c r="F203" s="222"/>
      <c r="G203" s="222"/>
      <c r="H203" s="476">
        <f>ROUND(SUM(H204:H205),2)</f>
        <v>93460.92</v>
      </c>
      <c r="I203" s="610">
        <f>H203*1.1281</f>
        <v>105433.263852</v>
      </c>
    </row>
    <row r="204" spans="1:256" s="357" customFormat="1" ht="102">
      <c r="A204" s="356"/>
      <c r="B204" s="648" t="s">
        <v>401</v>
      </c>
      <c r="C204" s="413" t="s">
        <v>402</v>
      </c>
      <c r="D204" s="413" t="s">
        <v>403</v>
      </c>
      <c r="E204" s="430" t="s">
        <v>18</v>
      </c>
      <c r="F204" s="431">
        <v>6</v>
      </c>
      <c r="G204" s="432">
        <f>COMPOSIÇÕES!F110</f>
        <v>5484.138510017842</v>
      </c>
      <c r="H204" s="480">
        <f>'ADITIVO - PLANILHA ORÇAMETARIA '!F204*'ADITIVO - PLANILHA ORÇAMETARIA '!G204</f>
        <v>32904.831060107055</v>
      </c>
      <c r="I204" s="417">
        <f>H204*1.1281</f>
        <v>37119.93991890677</v>
      </c>
      <c r="J204" s="356">
        <v>5426.6</v>
      </c>
      <c r="K204" s="356"/>
      <c r="L204" s="356"/>
      <c r="M204" s="356"/>
      <c r="N204" s="356"/>
      <c r="O204" s="356"/>
      <c r="P204" s="356"/>
      <c r="Q204" s="356"/>
      <c r="R204" s="356"/>
      <c r="S204" s="356"/>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6"/>
      <c r="AY204" s="356"/>
      <c r="AZ204" s="356"/>
      <c r="BA204" s="356"/>
      <c r="BB204" s="356"/>
      <c r="BC204" s="356"/>
      <c r="BD204" s="356"/>
      <c r="BE204" s="356"/>
      <c r="BF204" s="356"/>
      <c r="BG204" s="356"/>
      <c r="BH204" s="356"/>
      <c r="BI204" s="356"/>
      <c r="BJ204" s="356"/>
      <c r="BK204" s="356"/>
      <c r="BL204" s="356"/>
      <c r="BM204" s="356"/>
      <c r="BN204" s="356"/>
      <c r="BO204" s="356"/>
      <c r="BP204" s="356"/>
      <c r="BQ204" s="356"/>
      <c r="BR204" s="356"/>
      <c r="BS204" s="356"/>
      <c r="BT204" s="356"/>
      <c r="BU204" s="356"/>
      <c r="BV204" s="356"/>
      <c r="BW204" s="356"/>
      <c r="BX204" s="356"/>
      <c r="BY204" s="356"/>
      <c r="BZ204" s="356"/>
      <c r="CA204" s="356"/>
      <c r="CB204" s="356"/>
      <c r="CC204" s="356"/>
      <c r="CD204" s="356"/>
      <c r="CE204" s="356"/>
      <c r="CF204" s="356"/>
      <c r="CG204" s="356"/>
      <c r="CH204" s="356"/>
      <c r="CI204" s="356"/>
      <c r="CJ204" s="356"/>
      <c r="CK204" s="356"/>
      <c r="CL204" s="356"/>
      <c r="CM204" s="356"/>
      <c r="CN204" s="356"/>
      <c r="CO204" s="356"/>
      <c r="CP204" s="356"/>
      <c r="CQ204" s="356"/>
      <c r="CR204" s="356"/>
      <c r="CS204" s="356"/>
      <c r="CT204" s="356"/>
      <c r="CU204" s="356"/>
      <c r="CV204" s="356"/>
      <c r="CW204" s="356"/>
      <c r="CX204" s="356"/>
      <c r="CY204" s="356"/>
      <c r="CZ204" s="356"/>
      <c r="DA204" s="356"/>
      <c r="DB204" s="356"/>
      <c r="DC204" s="356"/>
      <c r="DD204" s="356"/>
      <c r="DE204" s="356"/>
      <c r="DF204" s="356"/>
      <c r="DG204" s="356"/>
      <c r="DH204" s="356"/>
      <c r="DI204" s="356"/>
      <c r="DJ204" s="356"/>
      <c r="DK204" s="356"/>
      <c r="DL204" s="356"/>
      <c r="DM204" s="356"/>
      <c r="DN204" s="356"/>
      <c r="DO204" s="356"/>
      <c r="DP204" s="356"/>
      <c r="DQ204" s="356"/>
      <c r="DR204" s="356"/>
      <c r="DS204" s="356"/>
      <c r="DT204" s="356"/>
      <c r="DU204" s="356"/>
      <c r="DV204" s="356"/>
      <c r="DW204" s="356"/>
      <c r="DX204" s="356"/>
      <c r="DY204" s="356"/>
      <c r="DZ204" s="356"/>
      <c r="EA204" s="356"/>
      <c r="EB204" s="356"/>
      <c r="EC204" s="356"/>
      <c r="ED204" s="356"/>
      <c r="EE204" s="356"/>
      <c r="EF204" s="356"/>
      <c r="EG204" s="356"/>
      <c r="EH204" s="356"/>
      <c r="EI204" s="356"/>
      <c r="EJ204" s="356"/>
      <c r="EK204" s="356"/>
      <c r="EL204" s="356"/>
      <c r="EM204" s="356"/>
      <c r="EN204" s="356"/>
      <c r="EO204" s="356"/>
      <c r="EP204" s="356"/>
      <c r="EQ204" s="356"/>
      <c r="ER204" s="356"/>
      <c r="ES204" s="356"/>
      <c r="ET204" s="356"/>
      <c r="EU204" s="356"/>
      <c r="EV204" s="356"/>
      <c r="EW204" s="356"/>
      <c r="EX204" s="356"/>
      <c r="EY204" s="356"/>
      <c r="EZ204" s="356"/>
      <c r="FA204" s="356"/>
      <c r="FB204" s="356"/>
      <c r="FC204" s="356"/>
      <c r="FD204" s="356"/>
      <c r="FE204" s="356"/>
      <c r="FF204" s="356"/>
      <c r="FG204" s="356"/>
      <c r="FH204" s="356"/>
      <c r="FI204" s="356"/>
      <c r="FJ204" s="356"/>
      <c r="FK204" s="356"/>
      <c r="FL204" s="356"/>
      <c r="FM204" s="356"/>
      <c r="FN204" s="356"/>
      <c r="FO204" s="356"/>
      <c r="FP204" s="356"/>
      <c r="FQ204" s="356"/>
      <c r="FR204" s="356"/>
      <c r="FS204" s="356"/>
      <c r="FT204" s="356"/>
      <c r="FU204" s="356"/>
      <c r="FV204" s="356"/>
      <c r="FW204" s="356"/>
      <c r="FX204" s="356"/>
      <c r="FY204" s="356"/>
      <c r="FZ204" s="356"/>
      <c r="GA204" s="356"/>
      <c r="GB204" s="356"/>
      <c r="GC204" s="356"/>
      <c r="GD204" s="356"/>
      <c r="GE204" s="356"/>
      <c r="GF204" s="356"/>
      <c r="GG204" s="356"/>
      <c r="GH204" s="356"/>
      <c r="GI204" s="356"/>
      <c r="GJ204" s="356"/>
      <c r="GK204" s="356"/>
      <c r="GL204" s="356"/>
      <c r="GM204" s="356"/>
      <c r="GN204" s="356"/>
      <c r="GO204" s="356"/>
      <c r="GP204" s="356"/>
      <c r="GQ204" s="356"/>
      <c r="GR204" s="356"/>
      <c r="GS204" s="356"/>
      <c r="GT204" s="356"/>
      <c r="GU204" s="356"/>
      <c r="GV204" s="356"/>
      <c r="GW204" s="356"/>
      <c r="GX204" s="356"/>
      <c r="GY204" s="356"/>
      <c r="GZ204" s="356"/>
      <c r="HA204" s="356"/>
      <c r="HB204" s="356"/>
      <c r="HC204" s="356"/>
      <c r="HD204" s="356"/>
      <c r="HE204" s="356"/>
      <c r="HF204" s="356"/>
      <c r="HG204" s="356"/>
      <c r="HH204" s="356"/>
      <c r="HI204" s="356"/>
      <c r="HJ204" s="356"/>
      <c r="HK204" s="356"/>
      <c r="HL204" s="356"/>
      <c r="HM204" s="356"/>
      <c r="HN204" s="356"/>
      <c r="HO204" s="356"/>
      <c r="HP204" s="356"/>
      <c r="HQ204" s="356"/>
      <c r="HR204" s="356"/>
      <c r="HS204" s="356"/>
      <c r="HT204" s="356"/>
      <c r="HU204" s="356"/>
      <c r="HV204" s="356"/>
      <c r="HW204" s="356"/>
      <c r="HX204" s="356"/>
      <c r="HY204" s="356"/>
      <c r="HZ204" s="356"/>
      <c r="IA204" s="356"/>
      <c r="IB204" s="356"/>
      <c r="IC204" s="356"/>
      <c r="ID204" s="356"/>
      <c r="IE204" s="356"/>
      <c r="IF204" s="356"/>
      <c r="IG204" s="356"/>
      <c r="IH204" s="356"/>
      <c r="II204" s="356"/>
      <c r="IJ204" s="356"/>
      <c r="IK204" s="356"/>
      <c r="IL204" s="356"/>
      <c r="IM204" s="356"/>
      <c r="IN204" s="356"/>
      <c r="IO204" s="356"/>
      <c r="IP204" s="356"/>
      <c r="IQ204" s="356"/>
      <c r="IR204" s="356"/>
      <c r="IS204" s="356"/>
      <c r="IT204" s="356"/>
      <c r="IU204" s="356"/>
      <c r="IV204" s="356"/>
    </row>
    <row r="205" spans="1:256" s="357" customFormat="1" ht="26.25" thickBot="1">
      <c r="A205" s="356"/>
      <c r="B205" s="648" t="s">
        <v>1818</v>
      </c>
      <c r="C205" s="424" t="s">
        <v>313</v>
      </c>
      <c r="D205" s="452" t="s">
        <v>314</v>
      </c>
      <c r="E205" s="423" t="s">
        <v>315</v>
      </c>
      <c r="F205" s="424">
        <v>4</v>
      </c>
      <c r="G205" s="453">
        <f>COMPOSIÇÕES!F71</f>
        <v>15139.0223785826</v>
      </c>
      <c r="H205" s="488">
        <f>'ADITIVO - PLANILHA ORÇAMETARIA '!G205*'ADITIVO - PLANILHA ORÇAMETARIA '!F205</f>
        <v>60556.0895143304</v>
      </c>
      <c r="I205" s="620">
        <f>H205*1.1281</f>
        <v>68313.32458111613</v>
      </c>
      <c r="J205" s="356">
        <v>14978.613333333331</v>
      </c>
      <c r="K205" s="356"/>
      <c r="L205" s="356"/>
      <c r="M205" s="356"/>
      <c r="N205" s="356"/>
      <c r="O205" s="356"/>
      <c r="P205" s="356"/>
      <c r="Q205" s="356"/>
      <c r="R205" s="356"/>
      <c r="S205" s="356"/>
      <c r="T205" s="356"/>
      <c r="U205" s="356"/>
      <c r="V205" s="356"/>
      <c r="W205" s="356"/>
      <c r="X205" s="356"/>
      <c r="Y205" s="356"/>
      <c r="Z205" s="356"/>
      <c r="AA205" s="356"/>
      <c r="AB205" s="356"/>
      <c r="AC205" s="356"/>
      <c r="AD205" s="356"/>
      <c r="AE205" s="356"/>
      <c r="AF205" s="356"/>
      <c r="AG205" s="356"/>
      <c r="AH205" s="356"/>
      <c r="AI205" s="356"/>
      <c r="AJ205" s="356"/>
      <c r="AK205" s="356"/>
      <c r="AL205" s="356"/>
      <c r="AM205" s="356"/>
      <c r="AN205" s="356"/>
      <c r="AO205" s="356"/>
      <c r="AP205" s="356"/>
      <c r="AQ205" s="356"/>
      <c r="AR205" s="356"/>
      <c r="AS205" s="356"/>
      <c r="AT205" s="356"/>
      <c r="AU205" s="356"/>
      <c r="AV205" s="356"/>
      <c r="AW205" s="356"/>
      <c r="AX205" s="356"/>
      <c r="AY205" s="356"/>
      <c r="AZ205" s="356"/>
      <c r="BA205" s="356"/>
      <c r="BB205" s="356"/>
      <c r="BC205" s="356"/>
      <c r="BD205" s="356"/>
      <c r="BE205" s="356"/>
      <c r="BF205" s="356"/>
      <c r="BG205" s="356"/>
      <c r="BH205" s="356"/>
      <c r="BI205" s="356"/>
      <c r="BJ205" s="356"/>
      <c r="BK205" s="356"/>
      <c r="BL205" s="356"/>
      <c r="BM205" s="356"/>
      <c r="BN205" s="356"/>
      <c r="BO205" s="356"/>
      <c r="BP205" s="356"/>
      <c r="BQ205" s="356"/>
      <c r="BR205" s="356"/>
      <c r="BS205" s="356"/>
      <c r="BT205" s="356"/>
      <c r="BU205" s="356"/>
      <c r="BV205" s="356"/>
      <c r="BW205" s="356"/>
      <c r="BX205" s="356"/>
      <c r="BY205" s="356"/>
      <c r="BZ205" s="356"/>
      <c r="CA205" s="356"/>
      <c r="CB205" s="356"/>
      <c r="CC205" s="356"/>
      <c r="CD205" s="356"/>
      <c r="CE205" s="356"/>
      <c r="CF205" s="356"/>
      <c r="CG205" s="356"/>
      <c r="CH205" s="356"/>
      <c r="CI205" s="356"/>
      <c r="CJ205" s="356"/>
      <c r="CK205" s="356"/>
      <c r="CL205" s="356"/>
      <c r="CM205" s="356"/>
      <c r="CN205" s="356"/>
      <c r="CO205" s="356"/>
      <c r="CP205" s="356"/>
      <c r="CQ205" s="356"/>
      <c r="CR205" s="356"/>
      <c r="CS205" s="356"/>
      <c r="CT205" s="356"/>
      <c r="CU205" s="356"/>
      <c r="CV205" s="356"/>
      <c r="CW205" s="356"/>
      <c r="CX205" s="356"/>
      <c r="CY205" s="356"/>
      <c r="CZ205" s="356"/>
      <c r="DA205" s="356"/>
      <c r="DB205" s="356"/>
      <c r="DC205" s="356"/>
      <c r="DD205" s="356"/>
      <c r="DE205" s="356"/>
      <c r="DF205" s="356"/>
      <c r="DG205" s="356"/>
      <c r="DH205" s="356"/>
      <c r="DI205" s="356"/>
      <c r="DJ205" s="356"/>
      <c r="DK205" s="356"/>
      <c r="DL205" s="356"/>
      <c r="DM205" s="356"/>
      <c r="DN205" s="356"/>
      <c r="DO205" s="356"/>
      <c r="DP205" s="356"/>
      <c r="DQ205" s="356"/>
      <c r="DR205" s="356"/>
      <c r="DS205" s="356"/>
      <c r="DT205" s="356"/>
      <c r="DU205" s="356"/>
      <c r="DV205" s="356"/>
      <c r="DW205" s="356"/>
      <c r="DX205" s="356"/>
      <c r="DY205" s="356"/>
      <c r="DZ205" s="356"/>
      <c r="EA205" s="356"/>
      <c r="EB205" s="356"/>
      <c r="EC205" s="356"/>
      <c r="ED205" s="356"/>
      <c r="EE205" s="356"/>
      <c r="EF205" s="356"/>
      <c r="EG205" s="356"/>
      <c r="EH205" s="356"/>
      <c r="EI205" s="356"/>
      <c r="EJ205" s="356"/>
      <c r="EK205" s="356"/>
      <c r="EL205" s="356"/>
      <c r="EM205" s="356"/>
      <c r="EN205" s="356"/>
      <c r="EO205" s="356"/>
      <c r="EP205" s="356"/>
      <c r="EQ205" s="356"/>
      <c r="ER205" s="356"/>
      <c r="ES205" s="356"/>
      <c r="ET205" s="356"/>
      <c r="EU205" s="356"/>
      <c r="EV205" s="356"/>
      <c r="EW205" s="356"/>
      <c r="EX205" s="356"/>
      <c r="EY205" s="356"/>
      <c r="EZ205" s="356"/>
      <c r="FA205" s="356"/>
      <c r="FB205" s="356"/>
      <c r="FC205" s="356"/>
      <c r="FD205" s="356"/>
      <c r="FE205" s="356"/>
      <c r="FF205" s="356"/>
      <c r="FG205" s="356"/>
      <c r="FH205" s="356"/>
      <c r="FI205" s="356"/>
      <c r="FJ205" s="356"/>
      <c r="FK205" s="356"/>
      <c r="FL205" s="356"/>
      <c r="FM205" s="356"/>
      <c r="FN205" s="356"/>
      <c r="FO205" s="356"/>
      <c r="FP205" s="356"/>
      <c r="FQ205" s="356"/>
      <c r="FR205" s="356"/>
      <c r="FS205" s="356"/>
      <c r="FT205" s="356"/>
      <c r="FU205" s="356"/>
      <c r="FV205" s="356"/>
      <c r="FW205" s="356"/>
      <c r="FX205" s="356"/>
      <c r="FY205" s="356"/>
      <c r="FZ205" s="356"/>
      <c r="GA205" s="356"/>
      <c r="GB205" s="356"/>
      <c r="GC205" s="356"/>
      <c r="GD205" s="356"/>
      <c r="GE205" s="356"/>
      <c r="GF205" s="356"/>
      <c r="GG205" s="356"/>
      <c r="GH205" s="356"/>
      <c r="GI205" s="356"/>
      <c r="GJ205" s="356"/>
      <c r="GK205" s="356"/>
      <c r="GL205" s="356"/>
      <c r="GM205" s="356"/>
      <c r="GN205" s="356"/>
      <c r="GO205" s="356"/>
      <c r="GP205" s="356"/>
      <c r="GQ205" s="356"/>
      <c r="GR205" s="356"/>
      <c r="GS205" s="356"/>
      <c r="GT205" s="356"/>
      <c r="GU205" s="356"/>
      <c r="GV205" s="356"/>
      <c r="GW205" s="356"/>
      <c r="GX205" s="356"/>
      <c r="GY205" s="356"/>
      <c r="GZ205" s="356"/>
      <c r="HA205" s="356"/>
      <c r="HB205" s="356"/>
      <c r="HC205" s="356"/>
      <c r="HD205" s="356"/>
      <c r="HE205" s="356"/>
      <c r="HF205" s="356"/>
      <c r="HG205" s="356"/>
      <c r="HH205" s="356"/>
      <c r="HI205" s="356"/>
      <c r="HJ205" s="356"/>
      <c r="HK205" s="356"/>
      <c r="HL205" s="356"/>
      <c r="HM205" s="356"/>
      <c r="HN205" s="356"/>
      <c r="HO205" s="356"/>
      <c r="HP205" s="356"/>
      <c r="HQ205" s="356"/>
      <c r="HR205" s="356"/>
      <c r="HS205" s="356"/>
      <c r="HT205" s="356"/>
      <c r="HU205" s="356"/>
      <c r="HV205" s="356"/>
      <c r="HW205" s="356"/>
      <c r="HX205" s="356"/>
      <c r="HY205" s="356"/>
      <c r="HZ205" s="356"/>
      <c r="IA205" s="356"/>
      <c r="IB205" s="356"/>
      <c r="IC205" s="356"/>
      <c r="ID205" s="356"/>
      <c r="IE205" s="356"/>
      <c r="IF205" s="356"/>
      <c r="IG205" s="356"/>
      <c r="IH205" s="356"/>
      <c r="II205" s="356"/>
      <c r="IJ205" s="356"/>
      <c r="IK205" s="356"/>
      <c r="IL205" s="356"/>
      <c r="IM205" s="356"/>
      <c r="IN205" s="356"/>
      <c r="IO205" s="356"/>
      <c r="IP205" s="356"/>
      <c r="IQ205" s="356"/>
      <c r="IR205" s="356"/>
      <c r="IS205" s="356"/>
      <c r="IT205" s="356"/>
      <c r="IU205" s="356"/>
      <c r="IV205" s="356"/>
    </row>
    <row r="206" spans="2:9" ht="12.75" customHeight="1" thickBot="1">
      <c r="B206" s="613"/>
      <c r="C206" s="225"/>
      <c r="D206" s="225"/>
      <c r="E206" s="226"/>
      <c r="F206" s="225"/>
      <c r="G206" s="227"/>
      <c r="H206" s="478"/>
      <c r="I206" s="636"/>
    </row>
    <row r="207" spans="2:9" ht="32.25" customHeight="1" thickBot="1">
      <c r="B207" s="649"/>
      <c r="C207" s="584"/>
      <c r="D207" s="584"/>
      <c r="E207" s="584"/>
      <c r="F207" s="584"/>
      <c r="G207" s="584"/>
      <c r="H207" s="583" t="s">
        <v>1851</v>
      </c>
      <c r="I207" s="650" t="s">
        <v>1850</v>
      </c>
    </row>
    <row r="208" spans="2:9" ht="12.75" customHeight="1" thickBot="1">
      <c r="B208" s="706" t="s">
        <v>1852</v>
      </c>
      <c r="C208" s="706"/>
      <c r="D208" s="706"/>
      <c r="E208" s="706"/>
      <c r="F208" s="706"/>
      <c r="G208" s="706"/>
      <c r="H208" s="585">
        <f>H203+H199+H196+H182+H177+H163+H158+H120+H73+H48+H41+H15+H12</f>
        <v>710162.37</v>
      </c>
      <c r="I208" s="651">
        <f>I12+I15+I41+I48+I73+I120+I158+I163+I177+I182+I196+I199+I203</f>
        <v>881613.7088220001</v>
      </c>
    </row>
    <row r="209" spans="2:10" s="205" customFormat="1" ht="12.75" customHeight="1">
      <c r="B209" s="707"/>
      <c r="C209" s="708"/>
      <c r="D209" s="708"/>
      <c r="E209" s="708"/>
      <c r="F209" s="708"/>
      <c r="G209" s="708"/>
      <c r="H209" s="708"/>
      <c r="I209" s="653"/>
      <c r="J209" s="255"/>
    </row>
    <row r="210" spans="2:10" s="205" customFormat="1" ht="12.75" customHeight="1">
      <c r="B210" s="709" t="s">
        <v>1853</v>
      </c>
      <c r="C210" s="710"/>
      <c r="D210" s="710"/>
      <c r="E210" s="710"/>
      <c r="F210" s="710"/>
      <c r="G210" s="1"/>
      <c r="H210" s="1"/>
      <c r="I210" s="654"/>
      <c r="J210" s="255"/>
    </row>
    <row r="211" spans="2:10" s="205" customFormat="1" ht="33" customHeight="1">
      <c r="B211" s="709" t="s">
        <v>1854</v>
      </c>
      <c r="C211" s="710"/>
      <c r="D211" s="710"/>
      <c r="E211" s="710"/>
      <c r="F211" s="1"/>
      <c r="G211" s="1"/>
      <c r="H211" s="1"/>
      <c r="I211" s="654"/>
      <c r="J211" s="336">
        <f>I197/I208</f>
        <v>0.10210253718068515</v>
      </c>
    </row>
    <row r="212" spans="2:10" s="205" customFormat="1" ht="18" customHeight="1">
      <c r="B212" s="655"/>
      <c r="C212" s="586"/>
      <c r="D212" s="586"/>
      <c r="E212" s="586"/>
      <c r="F212" s="586"/>
      <c r="G212" s="586"/>
      <c r="H212" s="586"/>
      <c r="I212" s="654"/>
      <c r="J212" s="255"/>
    </row>
    <row r="213" spans="2:10" s="205" customFormat="1" ht="12.75" customHeight="1">
      <c r="B213" s="655"/>
      <c r="C213" s="586"/>
      <c r="D213" s="586"/>
      <c r="E213" s="586"/>
      <c r="F213" s="586"/>
      <c r="G213" s="586"/>
      <c r="H213" s="586"/>
      <c r="I213" s="654"/>
      <c r="J213" s="255"/>
    </row>
    <row r="214" spans="2:10" s="205" customFormat="1" ht="12.75" customHeight="1">
      <c r="B214" s="655"/>
      <c r="C214" s="586"/>
      <c r="D214" s="586"/>
      <c r="E214" s="586"/>
      <c r="F214" s="586"/>
      <c r="G214" s="586"/>
      <c r="H214" s="586"/>
      <c r="I214" s="654"/>
      <c r="J214" s="255"/>
    </row>
    <row r="215" spans="2:10" s="205" customFormat="1" ht="12.75" customHeight="1">
      <c r="B215" s="713" t="s">
        <v>1856</v>
      </c>
      <c r="C215" s="714"/>
      <c r="D215" s="714"/>
      <c r="E215" s="586"/>
      <c r="F215" s="586"/>
      <c r="G215" s="586"/>
      <c r="H215" s="586"/>
      <c r="I215" s="654"/>
      <c r="J215" s="255"/>
    </row>
    <row r="216" spans="2:9" ht="12.75" customHeight="1">
      <c r="B216" s="711" t="s">
        <v>404</v>
      </c>
      <c r="C216" s="712"/>
      <c r="D216" s="712"/>
      <c r="E216" s="712"/>
      <c r="F216" s="712"/>
      <c r="G216" s="712"/>
      <c r="H216" s="712"/>
      <c r="I216" s="656"/>
    </row>
    <row r="217" spans="2:9" ht="12.75" customHeight="1">
      <c r="B217" s="711" t="s">
        <v>405</v>
      </c>
      <c r="C217" s="712"/>
      <c r="D217" s="712"/>
      <c r="E217" s="712"/>
      <c r="F217" s="712"/>
      <c r="G217" s="712"/>
      <c r="H217" s="712"/>
      <c r="I217" s="656"/>
    </row>
    <row r="218" spans="2:9" ht="12.75" customHeight="1">
      <c r="B218" s="711" t="s">
        <v>406</v>
      </c>
      <c r="C218" s="712"/>
      <c r="D218" s="712"/>
      <c r="E218" s="712"/>
      <c r="F218" s="712"/>
      <c r="G218" s="712"/>
      <c r="H218" s="712"/>
      <c r="I218" s="656"/>
    </row>
    <row r="219" spans="2:9" ht="12.75" customHeight="1">
      <c r="B219" s="711" t="s">
        <v>1855</v>
      </c>
      <c r="C219" s="712"/>
      <c r="D219" s="712"/>
      <c r="E219" s="712"/>
      <c r="F219" s="712"/>
      <c r="G219" s="712"/>
      <c r="H219" s="712"/>
      <c r="I219" s="656"/>
    </row>
    <row r="220" spans="2:9" ht="12.75" customHeight="1">
      <c r="B220" s="711" t="s">
        <v>407</v>
      </c>
      <c r="C220" s="712"/>
      <c r="D220" s="712"/>
      <c r="E220" s="712"/>
      <c r="F220" s="712"/>
      <c r="G220" s="712"/>
      <c r="H220" s="712"/>
      <c r="I220" s="656"/>
    </row>
    <row r="221" spans="2:10" s="205" customFormat="1" ht="12.75" customHeight="1">
      <c r="B221" s="715" t="s">
        <v>1652</v>
      </c>
      <c r="C221" s="716"/>
      <c r="D221" s="716"/>
      <c r="E221" s="716"/>
      <c r="F221" s="716"/>
      <c r="G221" s="716"/>
      <c r="H221" s="716"/>
      <c r="I221" s="658"/>
      <c r="J221" s="255"/>
    </row>
    <row r="222" spans="2:10" s="205" customFormat="1" ht="12.75" customHeight="1" thickBot="1">
      <c r="B222" s="691"/>
      <c r="C222" s="692"/>
      <c r="D222" s="692"/>
      <c r="E222" s="692"/>
      <c r="F222" s="692"/>
      <c r="G222" s="692"/>
      <c r="H222" s="692"/>
      <c r="I222" s="582"/>
      <c r="J222" s="255"/>
    </row>
    <row r="223" spans="2:10" s="205" customFormat="1" ht="12.75" customHeight="1" thickBot="1">
      <c r="B223" s="329"/>
      <c r="C223" s="276"/>
      <c r="D223" s="255"/>
      <c r="E223" s="275"/>
      <c r="F223" s="230"/>
      <c r="G223" s="255"/>
      <c r="H223" s="255"/>
      <c r="I223" s="582"/>
      <c r="J223" s="255"/>
    </row>
  </sheetData>
  <sheetProtection/>
  <mergeCells count="22">
    <mergeCell ref="B217:H217"/>
    <mergeCell ref="B218:H218"/>
    <mergeCell ref="B219:H219"/>
    <mergeCell ref="B220:H220"/>
    <mergeCell ref="B221:H221"/>
    <mergeCell ref="B10:H10"/>
    <mergeCell ref="B208:G208"/>
    <mergeCell ref="B209:H209"/>
    <mergeCell ref="B210:F210"/>
    <mergeCell ref="B211:E211"/>
    <mergeCell ref="B216:H216"/>
    <mergeCell ref="B215:D215"/>
    <mergeCell ref="B222:H222"/>
    <mergeCell ref="B1:H1"/>
    <mergeCell ref="B2:H2"/>
    <mergeCell ref="B3:H3"/>
    <mergeCell ref="B4:H4"/>
    <mergeCell ref="B5:H5"/>
    <mergeCell ref="B6:H6"/>
    <mergeCell ref="B7:H7"/>
    <mergeCell ref="B8:H8"/>
    <mergeCell ref="B9:H9"/>
  </mergeCells>
  <printOptions horizontalCentered="1"/>
  <pageMargins left="0.511805555555555" right="0.511805555555555" top="0.7875" bottom="0.788194444444444" header="0.511805555555555" footer="0.315277777777778"/>
  <pageSetup fitToHeight="0" fitToWidth="1" horizontalDpi="600" verticalDpi="600" orientation="portrait" paperSize="9" scale="48" r:id="rId2"/>
  <headerFooter>
    <oddFooter>&amp;L&amp;"Arial,Normal"	&amp;P</oddFooter>
  </headerFooter>
  <rowBreaks count="2" manualBreakCount="2">
    <brk id="66" min="1" max="8" man="1"/>
    <brk id="152" min="1"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V473"/>
  <sheetViews>
    <sheetView showGridLines="0" view="pageBreakPreview" zoomScaleSheetLayoutView="100" zoomScalePageLayoutView="89" workbookViewId="0" topLeftCell="A49">
      <selection activeCell="E59" sqref="E59"/>
    </sheetView>
  </sheetViews>
  <sheetFormatPr defaultColWidth="8.59765625" defaultRowHeight="15"/>
  <cols>
    <col min="1" max="1" width="13.69921875" style="2" customWidth="1"/>
    <col min="2" max="2" width="23.09765625" style="1" customWidth="1"/>
    <col min="3" max="3" width="5.3984375" style="1" customWidth="1"/>
    <col min="4" max="4" width="5.3984375" style="5" customWidth="1"/>
    <col min="5" max="5" width="11.3984375" style="556" customWidth="1"/>
    <col min="6" max="6" width="12" style="1" customWidth="1"/>
    <col min="7" max="8" width="8.59765625" style="1" customWidth="1"/>
    <col min="9" max="9" width="8.796875" style="5" customWidth="1"/>
    <col min="10" max="16384" width="8.59765625" style="1" customWidth="1"/>
  </cols>
  <sheetData>
    <row r="1" spans="1:9" ht="15.75" customHeight="1">
      <c r="A1" s="659"/>
      <c r="B1" s="730"/>
      <c r="C1" s="730"/>
      <c r="D1" s="730"/>
      <c r="E1" s="730"/>
      <c r="F1" s="731"/>
      <c r="I1" s="1"/>
    </row>
    <row r="2" spans="1:9" ht="19.5" customHeight="1">
      <c r="A2" s="652"/>
      <c r="B2" s="732"/>
      <c r="C2" s="732"/>
      <c r="D2" s="732"/>
      <c r="E2" s="732"/>
      <c r="F2" s="733"/>
      <c r="I2" s="1"/>
    </row>
    <row r="3" spans="1:9" ht="19.5" customHeight="1">
      <c r="A3" s="652"/>
      <c r="B3" s="734"/>
      <c r="C3" s="734"/>
      <c r="D3" s="734"/>
      <c r="E3" s="734"/>
      <c r="F3" s="735"/>
      <c r="I3" s="1"/>
    </row>
    <row r="4" spans="1:9" ht="19.5" customHeight="1">
      <c r="A4" s="652"/>
      <c r="B4" s="734"/>
      <c r="C4" s="734"/>
      <c r="D4" s="734"/>
      <c r="E4" s="734"/>
      <c r="F4" s="735"/>
      <c r="I4" s="1"/>
    </row>
    <row r="5" spans="1:9" ht="15" customHeight="1">
      <c r="A5" s="724" t="s">
        <v>0</v>
      </c>
      <c r="B5" s="725"/>
      <c r="C5" s="725"/>
      <c r="D5" s="725"/>
      <c r="E5" s="725"/>
      <c r="F5" s="726"/>
      <c r="I5" s="1"/>
    </row>
    <row r="6" spans="1:9" ht="15" customHeight="1">
      <c r="A6" s="724" t="s">
        <v>1</v>
      </c>
      <c r="B6" s="725"/>
      <c r="C6" s="725"/>
      <c r="D6" s="725"/>
      <c r="E6" s="725"/>
      <c r="F6" s="726"/>
      <c r="I6" s="1"/>
    </row>
    <row r="7" spans="1:9" ht="15" customHeight="1">
      <c r="A7" s="724" t="s">
        <v>2</v>
      </c>
      <c r="B7" s="725"/>
      <c r="C7" s="725"/>
      <c r="D7" s="725"/>
      <c r="E7" s="725"/>
      <c r="F7" s="726"/>
      <c r="I7" s="1"/>
    </row>
    <row r="8" spans="1:9" ht="15" customHeight="1">
      <c r="A8" s="724" t="s">
        <v>3</v>
      </c>
      <c r="B8" s="725"/>
      <c r="C8" s="725"/>
      <c r="D8" s="725"/>
      <c r="E8" s="725"/>
      <c r="F8" s="726"/>
      <c r="I8" s="1"/>
    </row>
    <row r="9" spans="1:9" ht="26.25" customHeight="1">
      <c r="A9" s="727" t="s">
        <v>1654</v>
      </c>
      <c r="B9" s="728"/>
      <c r="C9" s="728"/>
      <c r="D9" s="728"/>
      <c r="E9" s="728"/>
      <c r="F9" s="729"/>
      <c r="I9" s="1"/>
    </row>
    <row r="10" spans="1:9" ht="19.5" customHeight="1">
      <c r="A10" s="652"/>
      <c r="B10" s="2"/>
      <c r="C10" s="2"/>
      <c r="D10" s="2"/>
      <c r="E10" s="537"/>
      <c r="F10" s="660"/>
      <c r="I10" s="2"/>
    </row>
    <row r="11" spans="1:9" s="536" customFormat="1" ht="18" customHeight="1" thickBot="1">
      <c r="A11" s="661" t="s">
        <v>409</v>
      </c>
      <c r="B11" s="534"/>
      <c r="C11" s="534"/>
      <c r="D11" s="534"/>
      <c r="E11" s="538"/>
      <c r="F11" s="535"/>
      <c r="I11" s="534"/>
    </row>
    <row r="12" spans="1:9" s="6" customFormat="1" ht="19.5" customHeight="1" thickBot="1">
      <c r="A12" s="662" t="s">
        <v>410</v>
      </c>
      <c r="B12" s="30"/>
      <c r="C12" s="30"/>
      <c r="D12" s="30"/>
      <c r="E12" s="539"/>
      <c r="F12" s="663"/>
      <c r="I12" s="30"/>
    </row>
    <row r="13" spans="1:9" s="6" customFormat="1" ht="22.5" customHeight="1" thickBot="1">
      <c r="A13" s="717" t="s">
        <v>411</v>
      </c>
      <c r="B13" s="718"/>
      <c r="C13" s="718"/>
      <c r="D13" s="718"/>
      <c r="E13" s="718"/>
      <c r="F13" s="719"/>
      <c r="I13" s="515"/>
    </row>
    <row r="14" spans="1:9" s="6" customFormat="1" ht="12.75">
      <c r="A14" s="197" t="s">
        <v>412</v>
      </c>
      <c r="B14" s="198" t="s">
        <v>413</v>
      </c>
      <c r="C14" s="198" t="s">
        <v>414</v>
      </c>
      <c r="D14" s="199" t="s">
        <v>415</v>
      </c>
      <c r="E14" s="540" t="s">
        <v>416</v>
      </c>
      <c r="F14" s="199" t="s">
        <v>417</v>
      </c>
      <c r="I14" s="199" t="s">
        <v>416</v>
      </c>
    </row>
    <row r="15" spans="1:9" s="6" customFormat="1" ht="25.5">
      <c r="A15" s="7" t="s">
        <v>418</v>
      </c>
      <c r="B15" s="8" t="s">
        <v>419</v>
      </c>
      <c r="C15" s="8" t="s">
        <v>26</v>
      </c>
      <c r="D15" s="9">
        <v>1.4</v>
      </c>
      <c r="E15" s="595">
        <v>21.07</v>
      </c>
      <c r="F15" s="10">
        <f>COMPOSIÇÕES!D15*COMPOSIÇÕES!E15</f>
        <v>29.497999999999998</v>
      </c>
      <c r="I15" s="10">
        <v>21.02</v>
      </c>
    </row>
    <row r="16" spans="1:9" s="6" customFormat="1" ht="25.5">
      <c r="A16" s="11" t="s">
        <v>420</v>
      </c>
      <c r="B16" s="8" t="s">
        <v>421</v>
      </c>
      <c r="C16" s="8" t="s">
        <v>133</v>
      </c>
      <c r="D16" s="9">
        <v>5.921</v>
      </c>
      <c r="E16" s="595">
        <v>5.52</v>
      </c>
      <c r="F16" s="10">
        <f>COMPOSIÇÕES!D16*COMPOSIÇÕES!E16</f>
        <v>32.68392</v>
      </c>
      <c r="H16" s="336"/>
      <c r="I16" s="10">
        <v>4.8</v>
      </c>
    </row>
    <row r="17" spans="1:9" s="6" customFormat="1" ht="25.5">
      <c r="A17" s="11" t="s">
        <v>422</v>
      </c>
      <c r="B17" s="8" t="s">
        <v>423</v>
      </c>
      <c r="C17" s="8" t="s">
        <v>133</v>
      </c>
      <c r="D17" s="9">
        <v>8.7</v>
      </c>
      <c r="E17" s="595">
        <v>1.9</v>
      </c>
      <c r="F17" s="10">
        <f>COMPOSIÇÕES!D17*COMPOSIÇÕES!E17</f>
        <v>16.529999999999998</v>
      </c>
      <c r="I17" s="10">
        <v>1.92</v>
      </c>
    </row>
    <row r="18" spans="1:9" s="6" customFormat="1" ht="25.5">
      <c r="A18" s="11" t="s">
        <v>424</v>
      </c>
      <c r="B18" s="8" t="s">
        <v>425</v>
      </c>
      <c r="C18" s="8" t="s">
        <v>95</v>
      </c>
      <c r="D18" s="9">
        <v>0.2</v>
      </c>
      <c r="E18" s="595">
        <v>11.72</v>
      </c>
      <c r="F18" s="10">
        <f>COMPOSIÇÕES!D18*COMPOSIÇÕES!E18</f>
        <v>2.3440000000000003</v>
      </c>
      <c r="I18" s="10">
        <v>10.83</v>
      </c>
    </row>
    <row r="19" spans="1:9" s="6" customFormat="1" ht="38.25">
      <c r="A19" s="11" t="s">
        <v>426</v>
      </c>
      <c r="B19" s="8" t="s">
        <v>427</v>
      </c>
      <c r="C19" s="8" t="s">
        <v>428</v>
      </c>
      <c r="D19" s="9">
        <v>0.04</v>
      </c>
      <c r="E19" s="595">
        <v>6.47</v>
      </c>
      <c r="F19" s="10">
        <f>COMPOSIÇÕES!D19*COMPOSIÇÕES!E19</f>
        <v>0.2588</v>
      </c>
      <c r="I19" s="10">
        <v>6.89</v>
      </c>
    </row>
    <row r="20" spans="1:9" s="6" customFormat="1" ht="25.5">
      <c r="A20" s="11" t="s">
        <v>429</v>
      </c>
      <c r="B20" s="8" t="s">
        <v>430</v>
      </c>
      <c r="C20" s="8" t="s">
        <v>95</v>
      </c>
      <c r="D20" s="9">
        <v>0.1</v>
      </c>
      <c r="E20" s="595">
        <v>9.95</v>
      </c>
      <c r="F20" s="10">
        <f>COMPOSIÇÕES!D20*COMPOSIÇÕES!E20</f>
        <v>0.995</v>
      </c>
      <c r="I20" s="10">
        <v>8</v>
      </c>
    </row>
    <row r="21" spans="1:9" s="6" customFormat="1" ht="12.75">
      <c r="A21" s="7" t="s">
        <v>431</v>
      </c>
      <c r="B21" s="8" t="s">
        <v>432</v>
      </c>
      <c r="C21" s="8" t="s">
        <v>433</v>
      </c>
      <c r="D21" s="9">
        <v>0.44</v>
      </c>
      <c r="E21" s="595">
        <v>11.98</v>
      </c>
      <c r="F21" s="10">
        <f>COMPOSIÇÕES!D21*COMPOSIÇÕES!E21</f>
        <v>5.2712</v>
      </c>
      <c r="I21" s="10">
        <v>11.77</v>
      </c>
    </row>
    <row r="22" spans="1:9" s="6" customFormat="1" ht="25.5">
      <c r="A22" s="11" t="s">
        <v>434</v>
      </c>
      <c r="B22" s="8" t="s">
        <v>435</v>
      </c>
      <c r="C22" s="8" t="s">
        <v>433</v>
      </c>
      <c r="D22" s="9">
        <v>1.5</v>
      </c>
      <c r="E22" s="595">
        <v>15.21</v>
      </c>
      <c r="F22" s="10">
        <f>COMPOSIÇÕES!D22*COMPOSIÇÕES!E22</f>
        <v>22.815</v>
      </c>
      <c r="I22" s="10">
        <v>14.75</v>
      </c>
    </row>
    <row r="23" spans="1:9" s="6" customFormat="1" ht="19.5" customHeight="1" thickBot="1">
      <c r="A23" s="664" t="s">
        <v>436</v>
      </c>
      <c r="B23" s="516"/>
      <c r="C23" s="516"/>
      <c r="D23" s="516"/>
      <c r="E23" s="541"/>
      <c r="F23" s="665">
        <f>SUM(COMPOSIÇÕES!F15:F22)</f>
        <v>110.39591999999999</v>
      </c>
      <c r="I23" s="517"/>
    </row>
    <row r="24" spans="1:9" s="6" customFormat="1" ht="19.5" customHeight="1" thickBot="1">
      <c r="A24" s="666"/>
      <c r="B24" s="513"/>
      <c r="C24" s="513"/>
      <c r="D24" s="513"/>
      <c r="E24" s="542"/>
      <c r="F24" s="667"/>
      <c r="I24" s="513"/>
    </row>
    <row r="25" spans="1:9" s="6" customFormat="1" ht="19.5" customHeight="1" thickBot="1">
      <c r="A25" s="662" t="s">
        <v>437</v>
      </c>
      <c r="B25" s="30"/>
      <c r="C25" s="30"/>
      <c r="D25" s="30"/>
      <c r="E25" s="539"/>
      <c r="F25" s="663"/>
      <c r="I25" s="30"/>
    </row>
    <row r="26" spans="1:9" s="536" customFormat="1" ht="12.75" customHeight="1" thickBot="1">
      <c r="A26" s="717" t="s">
        <v>438</v>
      </c>
      <c r="B26" s="718"/>
      <c r="C26" s="718"/>
      <c r="D26" s="718"/>
      <c r="E26" s="718"/>
      <c r="F26" s="719"/>
      <c r="I26" s="515"/>
    </row>
    <row r="27" spans="1:9" s="6" customFormat="1" ht="12.75">
      <c r="A27" s="191" t="s">
        <v>412</v>
      </c>
      <c r="B27" s="192" t="s">
        <v>413</v>
      </c>
      <c r="C27" s="192" t="s">
        <v>414</v>
      </c>
      <c r="D27" s="193" t="s">
        <v>415</v>
      </c>
      <c r="E27" s="543" t="s">
        <v>416</v>
      </c>
      <c r="F27" s="193" t="s">
        <v>417</v>
      </c>
      <c r="I27" s="193" t="s">
        <v>416</v>
      </c>
    </row>
    <row r="28" spans="1:9" s="6" customFormat="1" ht="12.75">
      <c r="A28" s="7" t="s">
        <v>431</v>
      </c>
      <c r="B28" s="8" t="s">
        <v>432</v>
      </c>
      <c r="C28" s="8" t="s">
        <v>433</v>
      </c>
      <c r="D28" s="9">
        <v>20</v>
      </c>
      <c r="E28" s="595">
        <v>11.98</v>
      </c>
      <c r="F28" s="10">
        <f>COMPOSIÇÕES!E28*COMPOSIÇÕES!D28</f>
        <v>239.60000000000002</v>
      </c>
      <c r="I28" s="10">
        <v>11.77</v>
      </c>
    </row>
    <row r="29" spans="1:9" s="6" customFormat="1" ht="25.5">
      <c r="A29" s="11" t="s">
        <v>439</v>
      </c>
      <c r="B29" s="8" t="s">
        <v>440</v>
      </c>
      <c r="C29" s="8" t="s">
        <v>433</v>
      </c>
      <c r="D29" s="12">
        <v>8</v>
      </c>
      <c r="E29" s="595">
        <v>12.05</v>
      </c>
      <c r="F29" s="10">
        <f>COMPOSIÇÕES!D29*COMPOSIÇÕES!E29</f>
        <v>96.4</v>
      </c>
      <c r="I29" s="10">
        <v>11.45</v>
      </c>
    </row>
    <row r="30" spans="1:9" s="6" customFormat="1" ht="94.5" customHeight="1">
      <c r="A30" s="11" t="s">
        <v>441</v>
      </c>
      <c r="B30" s="8" t="s">
        <v>442</v>
      </c>
      <c r="C30" s="8" t="s">
        <v>18</v>
      </c>
      <c r="D30" s="12">
        <v>0.02</v>
      </c>
      <c r="E30" s="595">
        <v>179212.43</v>
      </c>
      <c r="F30" s="10">
        <f>COMPOSIÇÕES!D30*COMPOSIÇÕES!E30</f>
        <v>3584.2486</v>
      </c>
      <c r="I30" s="10">
        <v>166776.33</v>
      </c>
    </row>
    <row r="31" spans="1:9" s="6" customFormat="1" ht="94.5" customHeight="1">
      <c r="A31" s="11" t="s">
        <v>443</v>
      </c>
      <c r="B31" s="8" t="s">
        <v>444</v>
      </c>
      <c r="C31" s="8" t="s">
        <v>18</v>
      </c>
      <c r="D31" s="12">
        <v>0.02</v>
      </c>
      <c r="E31" s="595">
        <v>9000</v>
      </c>
      <c r="F31" s="10">
        <f>COMPOSIÇÕES!D31*COMPOSIÇÕES!E31</f>
        <v>180</v>
      </c>
      <c r="I31" s="10">
        <v>9000</v>
      </c>
    </row>
    <row r="32" spans="1:9" s="6" customFormat="1" ht="25.5">
      <c r="A32" s="11" t="s">
        <v>448</v>
      </c>
      <c r="B32" s="8" t="s">
        <v>449</v>
      </c>
      <c r="C32" s="8" t="s">
        <v>450</v>
      </c>
      <c r="D32" s="9">
        <v>120</v>
      </c>
      <c r="E32" s="595">
        <v>0.53</v>
      </c>
      <c r="F32" s="10">
        <f>COMPOSIÇÕES!D32*COMPOSIÇÕES!E32</f>
        <v>63.6</v>
      </c>
      <c r="I32" s="10">
        <v>0.46</v>
      </c>
    </row>
    <row r="33" spans="1:9" s="6" customFormat="1" ht="12.75" customHeight="1" thickBot="1">
      <c r="A33" s="664" t="s">
        <v>436</v>
      </c>
      <c r="B33" s="516"/>
      <c r="C33" s="516"/>
      <c r="D33" s="516"/>
      <c r="E33" s="544"/>
      <c r="F33" s="13">
        <f>SUM(COMPOSIÇÕES!F28:F32)</f>
        <v>4163.8486</v>
      </c>
      <c r="I33" s="518"/>
    </row>
    <row r="34" spans="1:9" s="6" customFormat="1" ht="29.25" customHeight="1" thickBot="1">
      <c r="A34" s="666"/>
      <c r="B34" s="513"/>
      <c r="C34" s="513"/>
      <c r="D34" s="513"/>
      <c r="E34" s="542"/>
      <c r="F34" s="667"/>
      <c r="I34" s="513"/>
    </row>
    <row r="35" spans="1:9" s="6" customFormat="1" ht="13.5" thickBot="1">
      <c r="A35" s="662" t="s">
        <v>445</v>
      </c>
      <c r="B35" s="30"/>
      <c r="C35" s="30"/>
      <c r="D35" s="30"/>
      <c r="E35" s="539"/>
      <c r="F35" s="663"/>
      <c r="I35" s="30"/>
    </row>
    <row r="36" spans="1:9" s="6" customFormat="1" ht="13.5" customHeight="1" thickBot="1">
      <c r="A36" s="717" t="s">
        <v>41</v>
      </c>
      <c r="B36" s="718"/>
      <c r="C36" s="718"/>
      <c r="D36" s="718"/>
      <c r="E36" s="718"/>
      <c r="F36" s="719"/>
      <c r="I36" s="514"/>
    </row>
    <row r="37" spans="1:9" s="6" customFormat="1" ht="13.5" thickBot="1">
      <c r="A37" s="194" t="s">
        <v>412</v>
      </c>
      <c r="B37" s="195" t="s">
        <v>413</v>
      </c>
      <c r="C37" s="195" t="s">
        <v>414</v>
      </c>
      <c r="D37" s="196" t="s">
        <v>415</v>
      </c>
      <c r="E37" s="545" t="s">
        <v>416</v>
      </c>
      <c r="F37" s="196" t="s">
        <v>417</v>
      </c>
      <c r="I37" s="196" t="s">
        <v>416</v>
      </c>
    </row>
    <row r="38" spans="1:9" s="6" customFormat="1" ht="77.25" thickBot="1">
      <c r="A38" s="155" t="s">
        <v>446</v>
      </c>
      <c r="B38" s="156" t="s">
        <v>447</v>
      </c>
      <c r="C38" s="158" t="s">
        <v>42</v>
      </c>
      <c r="D38" s="159">
        <v>1</v>
      </c>
      <c r="E38" s="596">
        <v>394.53</v>
      </c>
      <c r="F38" s="157">
        <f>COMPOSIÇÕES!D38*COMPOSIÇÕES!E38</f>
        <v>394.53</v>
      </c>
      <c r="I38" s="157">
        <v>937.5</v>
      </c>
    </row>
    <row r="39" spans="1:9" s="6" customFormat="1" ht="12.75" customHeight="1" thickBot="1">
      <c r="A39" s="664" t="s">
        <v>436</v>
      </c>
      <c r="B39" s="516"/>
      <c r="C39" s="516"/>
      <c r="D39" s="516"/>
      <c r="E39" s="541"/>
      <c r="F39" s="15">
        <f>SUM(COMPOSIÇÕES!F38:F38)</f>
        <v>394.53</v>
      </c>
      <c r="I39" s="517"/>
    </row>
    <row r="40" spans="1:9" s="6" customFormat="1" ht="15.75" customHeight="1" thickBot="1">
      <c r="A40" s="666"/>
      <c r="B40" s="513"/>
      <c r="C40" s="513"/>
      <c r="D40" s="513"/>
      <c r="E40" s="542"/>
      <c r="F40" s="667"/>
      <c r="I40" s="513"/>
    </row>
    <row r="41" spans="1:9" s="6" customFormat="1" ht="13.5" thickBot="1">
      <c r="A41" s="662" t="s">
        <v>451</v>
      </c>
      <c r="B41" s="30"/>
      <c r="C41" s="30"/>
      <c r="D41" s="30"/>
      <c r="E41" s="539"/>
      <c r="F41" s="663"/>
      <c r="I41" s="30"/>
    </row>
    <row r="42" spans="1:9" s="6" customFormat="1" ht="13.5" customHeight="1" thickBot="1">
      <c r="A42" s="717" t="s">
        <v>32</v>
      </c>
      <c r="B42" s="718"/>
      <c r="C42" s="718"/>
      <c r="D42" s="718"/>
      <c r="E42" s="718"/>
      <c r="F42" s="719"/>
      <c r="I42" s="514"/>
    </row>
    <row r="43" spans="1:9" s="6" customFormat="1" ht="12.75">
      <c r="A43" s="191" t="s">
        <v>412</v>
      </c>
      <c r="B43" s="192" t="s">
        <v>413</v>
      </c>
      <c r="C43" s="192" t="s">
        <v>414</v>
      </c>
      <c r="D43" s="193" t="s">
        <v>415</v>
      </c>
      <c r="E43" s="543" t="s">
        <v>416</v>
      </c>
      <c r="F43" s="193" t="s">
        <v>417</v>
      </c>
      <c r="I43" s="193" t="s">
        <v>416</v>
      </c>
    </row>
    <row r="44" spans="1:9" s="6" customFormat="1" ht="25.5">
      <c r="A44" s="7" t="s">
        <v>452</v>
      </c>
      <c r="B44" s="8" t="s">
        <v>453</v>
      </c>
      <c r="C44" s="8" t="s">
        <v>433</v>
      </c>
      <c r="D44" s="9">
        <v>20</v>
      </c>
      <c r="E44" s="595">
        <v>19.43</v>
      </c>
      <c r="F44" s="10">
        <f>COMPOSIÇÕES!E44*COMPOSIÇÕES!D44</f>
        <v>388.6</v>
      </c>
      <c r="I44" s="10">
        <v>18.53</v>
      </c>
    </row>
    <row r="45" spans="1:9" s="6" customFormat="1" ht="40.5" customHeight="1">
      <c r="A45" s="11" t="s">
        <v>1751</v>
      </c>
      <c r="B45" s="8" t="s">
        <v>1750</v>
      </c>
      <c r="C45" s="8" t="s">
        <v>433</v>
      </c>
      <c r="D45" s="12">
        <v>8</v>
      </c>
      <c r="E45" s="595">
        <v>68.63</v>
      </c>
      <c r="F45" s="10">
        <f>COMPOSIÇÕES!D45*COMPOSIÇÕES!E45</f>
        <v>549.04</v>
      </c>
      <c r="I45" s="10">
        <v>68.44</v>
      </c>
    </row>
    <row r="46" spans="1:9" s="6" customFormat="1" ht="30" customHeight="1" thickBot="1">
      <c r="A46" s="11" t="s">
        <v>454</v>
      </c>
      <c r="B46" s="8" t="s">
        <v>455</v>
      </c>
      <c r="C46" s="8" t="s">
        <v>18</v>
      </c>
      <c r="D46" s="12">
        <v>1</v>
      </c>
      <c r="E46" s="595">
        <v>214.82</v>
      </c>
      <c r="F46" s="10">
        <f>COMPOSIÇÕES!D46*COMPOSIÇÕES!E46</f>
        <v>214.82</v>
      </c>
      <c r="I46" s="10">
        <v>214.82</v>
      </c>
    </row>
    <row r="47" spans="1:9" s="6" customFormat="1" ht="15" customHeight="1" thickBot="1">
      <c r="A47" s="662" t="s">
        <v>436</v>
      </c>
      <c r="B47" s="30"/>
      <c r="C47" s="30"/>
      <c r="D47" s="30"/>
      <c r="E47" s="547"/>
      <c r="F47" s="668">
        <f>SUM(COMPOSIÇÕES!F44:F46)</f>
        <v>1152.46</v>
      </c>
      <c r="I47" s="31"/>
    </row>
    <row r="48" spans="1:9" s="6" customFormat="1" ht="15" customHeight="1" thickBot="1">
      <c r="A48" s="666"/>
      <c r="B48" s="513"/>
      <c r="C48" s="513"/>
      <c r="D48" s="513"/>
      <c r="E48" s="542"/>
      <c r="F48" s="667"/>
      <c r="I48" s="513"/>
    </row>
    <row r="49" spans="1:9" s="6" customFormat="1" ht="15" customHeight="1" thickBot="1">
      <c r="A49" s="662" t="s">
        <v>456</v>
      </c>
      <c r="B49" s="30"/>
      <c r="C49" s="30"/>
      <c r="D49" s="30"/>
      <c r="E49" s="539"/>
      <c r="F49" s="663"/>
      <c r="I49" s="30"/>
    </row>
    <row r="50" spans="1:9" s="6" customFormat="1" ht="13.5" customHeight="1" thickBot="1">
      <c r="A50" s="717" t="s">
        <v>35</v>
      </c>
      <c r="B50" s="718"/>
      <c r="C50" s="718"/>
      <c r="D50" s="718"/>
      <c r="E50" s="718"/>
      <c r="F50" s="719"/>
      <c r="I50" s="514"/>
    </row>
    <row r="51" spans="1:10" s="6" customFormat="1" ht="12.75">
      <c r="A51" s="191" t="s">
        <v>412</v>
      </c>
      <c r="B51" s="192" t="s">
        <v>413</v>
      </c>
      <c r="C51" s="192" t="s">
        <v>414</v>
      </c>
      <c r="D51" s="193" t="s">
        <v>415</v>
      </c>
      <c r="E51" s="543" t="s">
        <v>416</v>
      </c>
      <c r="F51" s="193" t="s">
        <v>417</v>
      </c>
      <c r="H51" s="16"/>
      <c r="I51" s="193" t="s">
        <v>416</v>
      </c>
      <c r="J51" s="17"/>
    </row>
    <row r="52" spans="1:9" s="6" customFormat="1" ht="25.5">
      <c r="A52" s="11" t="s">
        <v>1751</v>
      </c>
      <c r="B52" s="8" t="s">
        <v>1750</v>
      </c>
      <c r="C52" s="8" t="s">
        <v>433</v>
      </c>
      <c r="D52" s="9">
        <v>16</v>
      </c>
      <c r="E52" s="595">
        <v>68.63</v>
      </c>
      <c r="F52" s="10">
        <f>COMPOSIÇÕES!E52*COMPOSIÇÕES!D52</f>
        <v>1098.08</v>
      </c>
      <c r="I52" s="10">
        <v>68.44</v>
      </c>
    </row>
    <row r="53" spans="1:9" s="6" customFormat="1" ht="25.5">
      <c r="A53" s="11" t="s">
        <v>454</v>
      </c>
      <c r="B53" s="8" t="s">
        <v>455</v>
      </c>
      <c r="C53" s="8" t="s">
        <v>18</v>
      </c>
      <c r="D53" s="12">
        <v>1</v>
      </c>
      <c r="E53" s="595">
        <v>214.82</v>
      </c>
      <c r="F53" s="10">
        <f>COMPOSIÇÕES!D53*COMPOSIÇÕES!E53</f>
        <v>214.82</v>
      </c>
      <c r="I53" s="10">
        <v>214.82</v>
      </c>
    </row>
    <row r="54" spans="1:9" s="6" customFormat="1" ht="15" customHeight="1" thickBot="1">
      <c r="A54" s="664" t="s">
        <v>436</v>
      </c>
      <c r="B54" s="516"/>
      <c r="C54" s="516"/>
      <c r="D54" s="516"/>
      <c r="E54" s="544"/>
      <c r="F54" s="18">
        <f>SUM(COMPOSIÇÕES!F52:F53)</f>
        <v>1312.8999999999999</v>
      </c>
      <c r="I54" s="518"/>
    </row>
    <row r="55" spans="1:9" s="6" customFormat="1" ht="15" customHeight="1" thickBot="1">
      <c r="A55" s="666"/>
      <c r="B55" s="513"/>
      <c r="C55" s="513"/>
      <c r="D55" s="513"/>
      <c r="E55" s="542"/>
      <c r="F55" s="667"/>
      <c r="I55" s="513"/>
    </row>
    <row r="56" spans="1:9" s="6" customFormat="1" ht="15" customHeight="1" thickBot="1">
      <c r="A56" s="662" t="s">
        <v>457</v>
      </c>
      <c r="B56" s="30"/>
      <c r="C56" s="30"/>
      <c r="D56" s="30"/>
      <c r="E56" s="539"/>
      <c r="F56" s="663"/>
      <c r="I56" s="30"/>
    </row>
    <row r="57" spans="1:9" s="6" customFormat="1" ht="30.75" customHeight="1" thickBot="1">
      <c r="A57" s="717" t="s">
        <v>458</v>
      </c>
      <c r="B57" s="718"/>
      <c r="C57" s="718"/>
      <c r="D57" s="718"/>
      <c r="E57" s="718"/>
      <c r="F57" s="719"/>
      <c r="G57" s="19"/>
      <c r="I57" s="519"/>
    </row>
    <row r="58" spans="1:9" s="6" customFormat="1" ht="12.75">
      <c r="A58" s="188" t="s">
        <v>412</v>
      </c>
      <c r="B58" s="189" t="s">
        <v>413</v>
      </c>
      <c r="C58" s="189" t="s">
        <v>414</v>
      </c>
      <c r="D58" s="190" t="s">
        <v>415</v>
      </c>
      <c r="E58" s="548" t="s">
        <v>416</v>
      </c>
      <c r="F58" s="190" t="s">
        <v>417</v>
      </c>
      <c r="I58" s="190" t="s">
        <v>416</v>
      </c>
    </row>
    <row r="59" spans="1:9" s="6" customFormat="1" ht="30" customHeight="1">
      <c r="A59" s="143" t="s">
        <v>459</v>
      </c>
      <c r="B59" s="144" t="s">
        <v>460</v>
      </c>
      <c r="C59" s="144" t="s">
        <v>433</v>
      </c>
      <c r="D59" s="145">
        <v>288</v>
      </c>
      <c r="E59" s="595">
        <v>86.32</v>
      </c>
      <c r="F59" s="146">
        <f>COMPOSIÇÕES!E59*COMPOSIÇÕES!D59</f>
        <v>24860.159999999996</v>
      </c>
      <c r="I59" s="146">
        <v>86.08</v>
      </c>
    </row>
    <row r="60" spans="1:9" s="6" customFormat="1" ht="30" customHeight="1">
      <c r="A60" s="147" t="s">
        <v>461</v>
      </c>
      <c r="B60" s="144" t="s">
        <v>462</v>
      </c>
      <c r="C60" s="144" t="s">
        <v>42</v>
      </c>
      <c r="D60" s="145">
        <v>6</v>
      </c>
      <c r="E60" s="595">
        <v>2731.95</v>
      </c>
      <c r="F60" s="146">
        <f>COMPOSIÇÕES!D60*COMPOSIÇÕES!E60</f>
        <v>16391.699999999997</v>
      </c>
      <c r="I60" s="146">
        <v>2605.02</v>
      </c>
    </row>
    <row r="61" spans="1:9" s="6" customFormat="1" ht="25.5">
      <c r="A61" s="148" t="s">
        <v>463</v>
      </c>
      <c r="B61" s="149" t="s">
        <v>464</v>
      </c>
      <c r="C61" s="149" t="s">
        <v>42</v>
      </c>
      <c r="D61" s="145">
        <v>6</v>
      </c>
      <c r="E61" s="597">
        <v>5014.68</v>
      </c>
      <c r="F61" s="150">
        <f>COMPOSIÇÕES!D61*COMPOSIÇÕES!E61</f>
        <v>30088.08</v>
      </c>
      <c r="I61" s="150">
        <v>4151.2</v>
      </c>
    </row>
    <row r="62" spans="1:9" s="6" customFormat="1" ht="15" customHeight="1">
      <c r="A62" s="151" t="s">
        <v>1628</v>
      </c>
      <c r="B62" s="152" t="s">
        <v>1627</v>
      </c>
      <c r="C62" s="152" t="s">
        <v>42</v>
      </c>
      <c r="D62" s="153">
        <v>6</v>
      </c>
      <c r="E62" s="553">
        <v>30</v>
      </c>
      <c r="F62" s="150">
        <f>COMPOSIÇÕES!D62*COMPOSIÇÕES!E62</f>
        <v>180</v>
      </c>
      <c r="I62" s="154">
        <v>30</v>
      </c>
    </row>
    <row r="63" spans="1:9" s="6" customFormat="1" ht="15" customHeight="1" thickBot="1">
      <c r="A63" s="664" t="s">
        <v>436</v>
      </c>
      <c r="B63" s="516"/>
      <c r="C63" s="516"/>
      <c r="D63" s="516"/>
      <c r="E63" s="544"/>
      <c r="F63" s="18">
        <f>SUM(COMPOSIÇÕES!F59:F62)</f>
        <v>71519.94</v>
      </c>
      <c r="I63" s="518"/>
    </row>
    <row r="64" spans="1:9" s="6" customFormat="1" ht="21" customHeight="1" thickBot="1">
      <c r="A64" s="666"/>
      <c r="B64" s="513"/>
      <c r="C64" s="513"/>
      <c r="D64" s="513"/>
      <c r="E64" s="542"/>
      <c r="F64" s="667"/>
      <c r="I64" s="513"/>
    </row>
    <row r="65" spans="1:9" s="6" customFormat="1" ht="15" customHeight="1" thickBot="1">
      <c r="A65" s="662" t="s">
        <v>465</v>
      </c>
      <c r="B65" s="30"/>
      <c r="C65" s="30"/>
      <c r="D65" s="30"/>
      <c r="E65" s="539"/>
      <c r="F65" s="663"/>
      <c r="I65" s="30"/>
    </row>
    <row r="66" spans="1:9" s="6" customFormat="1" ht="13.5" customHeight="1" thickBot="1">
      <c r="A66" s="717" t="s">
        <v>314</v>
      </c>
      <c r="B66" s="718"/>
      <c r="C66" s="718"/>
      <c r="D66" s="718"/>
      <c r="E66" s="718"/>
      <c r="F66" s="719"/>
      <c r="I66" s="520"/>
    </row>
    <row r="67" spans="1:9" s="6" customFormat="1" ht="12.75">
      <c r="A67" s="185" t="s">
        <v>412</v>
      </c>
      <c r="B67" s="186" t="s">
        <v>413</v>
      </c>
      <c r="C67" s="186" t="s">
        <v>414</v>
      </c>
      <c r="D67" s="187" t="s">
        <v>415</v>
      </c>
      <c r="E67" s="549" t="s">
        <v>416</v>
      </c>
      <c r="F67" s="187" t="s">
        <v>417</v>
      </c>
      <c r="I67" s="187" t="s">
        <v>416</v>
      </c>
    </row>
    <row r="68" spans="1:9" s="6" customFormat="1" ht="89.25">
      <c r="A68" s="7" t="s">
        <v>466</v>
      </c>
      <c r="B68" s="8" t="s">
        <v>467</v>
      </c>
      <c r="C68" s="8" t="s">
        <v>18</v>
      </c>
      <c r="D68" s="9">
        <v>1</v>
      </c>
      <c r="E68" s="546">
        <f>AVERAGE(15915.32,12237,16400)*(1+F468)</f>
        <v>15007.142378582601</v>
      </c>
      <c r="F68" s="10">
        <f>COMPOSIÇÕES!E68*COMPOSIÇÕES!D68</f>
        <v>15007.142378582601</v>
      </c>
      <c r="I68" s="10">
        <f>AVERAGE(15915.32,12237,16400)</f>
        <v>14850.773333333333</v>
      </c>
    </row>
    <row r="69" spans="1:9" s="6" customFormat="1" ht="15" customHeight="1">
      <c r="A69" s="11" t="s">
        <v>468</v>
      </c>
      <c r="B69" s="8" t="s">
        <v>469</v>
      </c>
      <c r="C69" s="8" t="s">
        <v>433</v>
      </c>
      <c r="D69" s="12">
        <v>4</v>
      </c>
      <c r="E69" s="595">
        <v>18.31</v>
      </c>
      <c r="F69" s="10">
        <f>COMPOSIÇÕES!D69*COMPOSIÇÕES!E69</f>
        <v>73.24</v>
      </c>
      <c r="I69" s="10">
        <v>17.72</v>
      </c>
    </row>
    <row r="70" spans="1:9" s="6" customFormat="1" ht="15" customHeight="1" thickBot="1">
      <c r="A70" s="11" t="s">
        <v>470</v>
      </c>
      <c r="B70" s="8" t="s">
        <v>471</v>
      </c>
      <c r="C70" s="8" t="s">
        <v>433</v>
      </c>
      <c r="D70" s="12">
        <v>4</v>
      </c>
      <c r="E70" s="595">
        <v>14.66</v>
      </c>
      <c r="F70" s="10">
        <f>COMPOSIÇÕES!D70*COMPOSIÇÕES!E70</f>
        <v>58.64</v>
      </c>
      <c r="I70" s="10">
        <v>14.24</v>
      </c>
    </row>
    <row r="71" spans="1:9" s="6" customFormat="1" ht="15" customHeight="1" thickBot="1">
      <c r="A71" s="662" t="s">
        <v>436</v>
      </c>
      <c r="B71" s="30"/>
      <c r="C71" s="30"/>
      <c r="D71" s="30"/>
      <c r="E71" s="547"/>
      <c r="F71" s="668">
        <f>SUM(COMPOSIÇÕES!F68:F70)</f>
        <v>15139.0223785826</v>
      </c>
      <c r="I71" s="31"/>
    </row>
    <row r="72" spans="1:9" s="6" customFormat="1" ht="27.75" customHeight="1" thickBot="1">
      <c r="A72" s="666"/>
      <c r="B72" s="513"/>
      <c r="C72" s="513"/>
      <c r="D72" s="513"/>
      <c r="E72" s="542"/>
      <c r="F72" s="667"/>
      <c r="I72" s="513"/>
    </row>
    <row r="73" spans="1:9" s="6" customFormat="1" ht="15" customHeight="1" thickBot="1">
      <c r="A73" s="662" t="s">
        <v>472</v>
      </c>
      <c r="B73" s="30"/>
      <c r="C73" s="30"/>
      <c r="D73" s="30"/>
      <c r="E73" s="539"/>
      <c r="F73" s="663"/>
      <c r="I73" s="30"/>
    </row>
    <row r="74" spans="1:9" s="6" customFormat="1" ht="13.5" customHeight="1" thickBot="1">
      <c r="A74" s="717" t="s">
        <v>318</v>
      </c>
      <c r="B74" s="718"/>
      <c r="C74" s="718"/>
      <c r="D74" s="718"/>
      <c r="E74" s="718"/>
      <c r="F74" s="719"/>
      <c r="I74" s="520"/>
    </row>
    <row r="75" spans="1:9" s="6" customFormat="1" ht="13.5" thickBot="1">
      <c r="A75" s="169" t="s">
        <v>412</v>
      </c>
      <c r="B75" s="170" t="s">
        <v>413</v>
      </c>
      <c r="C75" s="170" t="s">
        <v>414</v>
      </c>
      <c r="D75" s="171" t="s">
        <v>415</v>
      </c>
      <c r="E75" s="550" t="s">
        <v>416</v>
      </c>
      <c r="F75" s="171" t="s">
        <v>417</v>
      </c>
      <c r="I75" s="171" t="s">
        <v>416</v>
      </c>
    </row>
    <row r="76" spans="1:9" s="6" customFormat="1" ht="38.25">
      <c r="A76" s="20" t="s">
        <v>466</v>
      </c>
      <c r="B76" s="21" t="s">
        <v>473</v>
      </c>
      <c r="C76" s="21" t="s">
        <v>474</v>
      </c>
      <c r="D76" s="22">
        <v>1</v>
      </c>
      <c r="E76" s="551">
        <f>AVERAGE(99.5,73.1,160)*(1+F468)</f>
        <v>112.03402101431695</v>
      </c>
      <c r="F76" s="23">
        <f>COMPOSIÇÕES!D76*COMPOSIÇÕES!E76</f>
        <v>112.03402101431695</v>
      </c>
      <c r="I76" s="23">
        <f>AVERAGE(99.5,73.1,160)</f>
        <v>110.86666666666667</v>
      </c>
    </row>
    <row r="77" spans="1:9" s="6" customFormat="1" ht="15" customHeight="1">
      <c r="A77" s="11" t="s">
        <v>468</v>
      </c>
      <c r="B77" s="8" t="s">
        <v>469</v>
      </c>
      <c r="C77" s="8" t="s">
        <v>433</v>
      </c>
      <c r="D77" s="12">
        <v>0.25</v>
      </c>
      <c r="E77" s="595">
        <v>18.31</v>
      </c>
      <c r="F77" s="10">
        <f>COMPOSIÇÕES!D77*COMPOSIÇÕES!E77</f>
        <v>4.5775</v>
      </c>
      <c r="I77" s="10">
        <v>17.72</v>
      </c>
    </row>
    <row r="78" spans="1:9" s="6" customFormat="1" ht="15" customHeight="1" thickBot="1">
      <c r="A78" s="11" t="s">
        <v>470</v>
      </c>
      <c r="B78" s="8" t="s">
        <v>471</v>
      </c>
      <c r="C78" s="8" t="s">
        <v>433</v>
      </c>
      <c r="D78" s="12">
        <v>0.25</v>
      </c>
      <c r="E78" s="595">
        <v>14.66</v>
      </c>
      <c r="F78" s="10">
        <f>COMPOSIÇÕES!D78*COMPOSIÇÕES!E78</f>
        <v>3.665</v>
      </c>
      <c r="I78" s="10">
        <v>14.24</v>
      </c>
    </row>
    <row r="79" spans="1:9" s="6" customFormat="1" ht="15" customHeight="1" thickBot="1">
      <c r="A79" s="662" t="s">
        <v>436</v>
      </c>
      <c r="B79" s="30"/>
      <c r="C79" s="30"/>
      <c r="D79" s="30"/>
      <c r="E79" s="547"/>
      <c r="F79" s="24">
        <f>SUM(COMPOSIÇÕES!F76:F78)</f>
        <v>120.27652101431696</v>
      </c>
      <c r="I79" s="31"/>
    </row>
    <row r="80" spans="1:9" s="6" customFormat="1" ht="15" customHeight="1" thickBot="1">
      <c r="A80" s="666"/>
      <c r="B80" s="513"/>
      <c r="C80" s="513"/>
      <c r="D80" s="513"/>
      <c r="E80" s="542"/>
      <c r="F80" s="667"/>
      <c r="I80" s="513"/>
    </row>
    <row r="81" spans="1:9" s="6" customFormat="1" ht="15" customHeight="1" thickBot="1">
      <c r="A81" s="662" t="s">
        <v>475</v>
      </c>
      <c r="B81" s="30"/>
      <c r="C81" s="30"/>
      <c r="D81" s="30"/>
      <c r="E81" s="539"/>
      <c r="F81" s="663"/>
      <c r="I81" s="30"/>
    </row>
    <row r="82" spans="1:9" s="6" customFormat="1" ht="13.5" customHeight="1" thickBot="1">
      <c r="A82" s="717" t="s">
        <v>321</v>
      </c>
      <c r="B82" s="718"/>
      <c r="C82" s="718"/>
      <c r="D82" s="718"/>
      <c r="E82" s="718"/>
      <c r="F82" s="719"/>
      <c r="I82" s="520"/>
    </row>
    <row r="83" spans="1:9" s="6" customFormat="1" ht="13.5" thickBot="1">
      <c r="A83" s="169" t="s">
        <v>412</v>
      </c>
      <c r="B83" s="170" t="s">
        <v>413</v>
      </c>
      <c r="C83" s="170" t="s">
        <v>414</v>
      </c>
      <c r="D83" s="171" t="s">
        <v>415</v>
      </c>
      <c r="E83" s="550" t="s">
        <v>416</v>
      </c>
      <c r="F83" s="171" t="s">
        <v>417</v>
      </c>
      <c r="I83" s="171" t="s">
        <v>416</v>
      </c>
    </row>
    <row r="84" spans="1:9" s="6" customFormat="1" ht="38.25">
      <c r="A84" s="20" t="s">
        <v>466</v>
      </c>
      <c r="B84" s="21" t="s">
        <v>476</v>
      </c>
      <c r="C84" s="21" t="s">
        <v>474</v>
      </c>
      <c r="D84" s="22">
        <v>1</v>
      </c>
      <c r="E84" s="551">
        <f>AVERAGE(173.1,141,210)*(1+F468)</f>
        <v>176.5394780926143</v>
      </c>
      <c r="F84" s="23">
        <f>COMPOSIÇÕES!D84*COMPOSIÇÕES!E84</f>
        <v>176.5394780926143</v>
      </c>
      <c r="I84" s="23">
        <f>AVERAGE(173.1,141,210)</f>
        <v>174.70000000000002</v>
      </c>
    </row>
    <row r="85" spans="1:9" s="6" customFormat="1" ht="15" customHeight="1">
      <c r="A85" s="11" t="s">
        <v>468</v>
      </c>
      <c r="B85" s="8" t="s">
        <v>469</v>
      </c>
      <c r="C85" s="8" t="s">
        <v>433</v>
      </c>
      <c r="D85" s="12">
        <v>0.25</v>
      </c>
      <c r="E85" s="595">
        <v>18.31</v>
      </c>
      <c r="F85" s="10">
        <f>COMPOSIÇÕES!D85*COMPOSIÇÕES!E85</f>
        <v>4.5775</v>
      </c>
      <c r="I85" s="10">
        <v>17.72</v>
      </c>
    </row>
    <row r="86" spans="1:9" s="6" customFormat="1" ht="15" customHeight="1" thickBot="1">
      <c r="A86" s="11" t="s">
        <v>470</v>
      </c>
      <c r="B86" s="8" t="s">
        <v>471</v>
      </c>
      <c r="C86" s="8" t="s">
        <v>433</v>
      </c>
      <c r="D86" s="12">
        <v>0.25</v>
      </c>
      <c r="E86" s="595">
        <v>14.66</v>
      </c>
      <c r="F86" s="10">
        <f>COMPOSIÇÕES!D86*COMPOSIÇÕES!E86</f>
        <v>3.665</v>
      </c>
      <c r="I86" s="10">
        <v>14.24</v>
      </c>
    </row>
    <row r="87" spans="1:9" s="6" customFormat="1" ht="15" customHeight="1" thickBot="1">
      <c r="A87" s="662" t="s">
        <v>436</v>
      </c>
      <c r="B87" s="30"/>
      <c r="C87" s="30"/>
      <c r="D87" s="30"/>
      <c r="E87" s="547"/>
      <c r="F87" s="668">
        <f>SUM(COMPOSIÇÕES!F84:F86)</f>
        <v>184.78197809261428</v>
      </c>
      <c r="I87" s="31"/>
    </row>
    <row r="88" spans="1:9" s="6" customFormat="1" ht="15" customHeight="1" thickBot="1">
      <c r="A88" s="666"/>
      <c r="B88" s="513"/>
      <c r="C88" s="513"/>
      <c r="D88" s="513"/>
      <c r="E88" s="542"/>
      <c r="F88" s="667"/>
      <c r="I88" s="513"/>
    </row>
    <row r="89" spans="1:9" s="6" customFormat="1" ht="18" customHeight="1" thickBot="1">
      <c r="A89" s="662" t="s">
        <v>477</v>
      </c>
      <c r="B89" s="30"/>
      <c r="C89" s="30"/>
      <c r="D89" s="30"/>
      <c r="E89" s="539"/>
      <c r="F89" s="663"/>
      <c r="I89" s="30"/>
    </row>
    <row r="90" spans="1:9" s="6" customFormat="1" ht="13.5" customHeight="1" thickBot="1">
      <c r="A90" s="717" t="s">
        <v>323</v>
      </c>
      <c r="B90" s="718"/>
      <c r="C90" s="718"/>
      <c r="D90" s="718"/>
      <c r="E90" s="718"/>
      <c r="F90" s="719"/>
      <c r="I90" s="520"/>
    </row>
    <row r="91" spans="1:9" s="6" customFormat="1" ht="13.5" thickBot="1">
      <c r="A91" s="169" t="s">
        <v>412</v>
      </c>
      <c r="B91" s="170" t="s">
        <v>413</v>
      </c>
      <c r="C91" s="170" t="s">
        <v>414</v>
      </c>
      <c r="D91" s="171" t="s">
        <v>415</v>
      </c>
      <c r="E91" s="550" t="s">
        <v>416</v>
      </c>
      <c r="F91" s="171" t="s">
        <v>417</v>
      </c>
      <c r="I91" s="171" t="s">
        <v>416</v>
      </c>
    </row>
    <row r="92" spans="1:9" s="6" customFormat="1" ht="38.25">
      <c r="A92" s="20" t="s">
        <v>466</v>
      </c>
      <c r="B92" s="21" t="s">
        <v>478</v>
      </c>
      <c r="C92" s="21" t="s">
        <v>474</v>
      </c>
      <c r="D92" s="22">
        <v>1</v>
      </c>
      <c r="E92" s="551">
        <f>AVERAGE(564,592.63,650)*(1+F468)</f>
        <v>608.5508820958972</v>
      </c>
      <c r="F92" s="23">
        <f>COMPOSIÇÕES!D92*COMPOSIÇÕES!E92</f>
        <v>608.5508820958972</v>
      </c>
      <c r="I92" s="23">
        <f>AVERAGE(564,592.63,650)</f>
        <v>602.21</v>
      </c>
    </row>
    <row r="93" spans="1:9" s="6" customFormat="1" ht="15" customHeight="1">
      <c r="A93" s="11" t="s">
        <v>468</v>
      </c>
      <c r="B93" s="8" t="s">
        <v>469</v>
      </c>
      <c r="C93" s="8" t="s">
        <v>433</v>
      </c>
      <c r="D93" s="12">
        <v>0.5</v>
      </c>
      <c r="E93" s="595">
        <v>18.31</v>
      </c>
      <c r="F93" s="10">
        <f>COMPOSIÇÕES!D93*COMPOSIÇÕES!E93</f>
        <v>9.155</v>
      </c>
      <c r="I93" s="10">
        <v>17.72</v>
      </c>
    </row>
    <row r="94" spans="1:9" s="6" customFormat="1" ht="15" customHeight="1" thickBot="1">
      <c r="A94" s="11" t="s">
        <v>470</v>
      </c>
      <c r="B94" s="8" t="s">
        <v>471</v>
      </c>
      <c r="C94" s="8" t="s">
        <v>433</v>
      </c>
      <c r="D94" s="12">
        <v>0.5</v>
      </c>
      <c r="E94" s="595">
        <v>14.66</v>
      </c>
      <c r="F94" s="10">
        <f>COMPOSIÇÕES!D94*COMPOSIÇÕES!E94</f>
        <v>7.33</v>
      </c>
      <c r="I94" s="10">
        <v>14.24</v>
      </c>
    </row>
    <row r="95" spans="1:9" s="6" customFormat="1" ht="15" customHeight="1" thickBot="1">
      <c r="A95" s="662" t="s">
        <v>436</v>
      </c>
      <c r="B95" s="30"/>
      <c r="C95" s="30"/>
      <c r="D95" s="30"/>
      <c r="E95" s="547"/>
      <c r="F95" s="24">
        <f>SUM(COMPOSIÇÕES!F92:F94)</f>
        <v>625.0358820958973</v>
      </c>
      <c r="I95" s="31"/>
    </row>
    <row r="96" spans="1:9" s="6" customFormat="1" ht="15" customHeight="1" thickBot="1">
      <c r="A96" s="666"/>
      <c r="B96" s="513"/>
      <c r="C96" s="513"/>
      <c r="D96" s="513"/>
      <c r="E96" s="542"/>
      <c r="F96" s="667"/>
      <c r="I96" s="513"/>
    </row>
    <row r="97" spans="1:9" s="6" customFormat="1" ht="15" customHeight="1" thickBot="1">
      <c r="A97" s="662" t="s">
        <v>485</v>
      </c>
      <c r="B97" s="30"/>
      <c r="C97" s="30"/>
      <c r="D97" s="30"/>
      <c r="E97" s="539"/>
      <c r="F97" s="663"/>
      <c r="I97" s="30"/>
    </row>
    <row r="98" spans="1:9" s="6" customFormat="1" ht="13.5" customHeight="1" thickBot="1">
      <c r="A98" s="717" t="s">
        <v>17</v>
      </c>
      <c r="B98" s="718"/>
      <c r="C98" s="718"/>
      <c r="D98" s="718"/>
      <c r="E98" s="718"/>
      <c r="F98" s="719"/>
      <c r="I98" s="521"/>
    </row>
    <row r="99" spans="1:9" s="6" customFormat="1" ht="21" customHeight="1" thickBot="1">
      <c r="A99" s="182" t="s">
        <v>412</v>
      </c>
      <c r="B99" s="183" t="s">
        <v>413</v>
      </c>
      <c r="C99" s="183" t="s">
        <v>414</v>
      </c>
      <c r="D99" s="184" t="s">
        <v>415</v>
      </c>
      <c r="E99" s="552" t="s">
        <v>416</v>
      </c>
      <c r="F99" s="184" t="s">
        <v>417</v>
      </c>
      <c r="I99" s="184" t="s">
        <v>416</v>
      </c>
    </row>
    <row r="100" spans="1:9" s="6" customFormat="1" ht="15" customHeight="1">
      <c r="A100" s="151" t="s">
        <v>454</v>
      </c>
      <c r="B100" s="152" t="s">
        <v>455</v>
      </c>
      <c r="C100" s="152" t="s">
        <v>18</v>
      </c>
      <c r="D100" s="153">
        <v>1</v>
      </c>
      <c r="E100" s="553">
        <v>214.82</v>
      </c>
      <c r="F100" s="154">
        <f>COMPOSIÇÕES!D100*COMPOSIÇÕES!E100</f>
        <v>214.82</v>
      </c>
      <c r="I100" s="154">
        <v>214.82</v>
      </c>
    </row>
    <row r="101" spans="1:9" s="6" customFormat="1" ht="39" thickBot="1">
      <c r="A101" s="151" t="s">
        <v>1626</v>
      </c>
      <c r="B101" s="152" t="s">
        <v>1625</v>
      </c>
      <c r="C101" s="152" t="s">
        <v>433</v>
      </c>
      <c r="D101" s="153">
        <v>10</v>
      </c>
      <c r="E101" s="553">
        <v>36.06</v>
      </c>
      <c r="F101" s="154">
        <f>COMPOSIÇÕES!D101*COMPOSIÇÕES!E101</f>
        <v>360.6</v>
      </c>
      <c r="I101" s="154">
        <v>36.04</v>
      </c>
    </row>
    <row r="102" spans="1:9" s="6" customFormat="1" ht="15" customHeight="1" thickBot="1">
      <c r="A102" s="669" t="s">
        <v>436</v>
      </c>
      <c r="B102" s="522"/>
      <c r="C102" s="522"/>
      <c r="D102" s="522"/>
      <c r="E102" s="554"/>
      <c r="F102" s="160">
        <f>SUM(COMPOSIÇÕES!F100:F101)</f>
        <v>575.4200000000001</v>
      </c>
      <c r="I102" s="523"/>
    </row>
    <row r="103" spans="1:9" s="6" customFormat="1" ht="12" customHeight="1" thickBot="1">
      <c r="A103" s="666"/>
      <c r="B103" s="513"/>
      <c r="C103" s="513"/>
      <c r="D103" s="513"/>
      <c r="E103" s="542"/>
      <c r="F103" s="667"/>
      <c r="I103" s="513"/>
    </row>
    <row r="104" spans="1:9" s="6" customFormat="1" ht="15" customHeight="1" thickBot="1">
      <c r="A104" s="662" t="s">
        <v>486</v>
      </c>
      <c r="B104" s="30"/>
      <c r="C104" s="30"/>
      <c r="D104" s="30"/>
      <c r="E104" s="539"/>
      <c r="F104" s="663"/>
      <c r="I104" s="30"/>
    </row>
    <row r="105" spans="1:9" s="6" customFormat="1" ht="13.5" customHeight="1" thickBot="1">
      <c r="A105" s="717" t="s">
        <v>487</v>
      </c>
      <c r="B105" s="718"/>
      <c r="C105" s="718"/>
      <c r="D105" s="718"/>
      <c r="E105" s="718"/>
      <c r="F105" s="719"/>
      <c r="I105" s="524"/>
    </row>
    <row r="106" spans="1:9" s="6" customFormat="1" ht="13.5" thickBot="1">
      <c r="A106" s="173" t="s">
        <v>412</v>
      </c>
      <c r="B106" s="174" t="s">
        <v>413</v>
      </c>
      <c r="C106" s="174" t="s">
        <v>414</v>
      </c>
      <c r="D106" s="175" t="s">
        <v>415</v>
      </c>
      <c r="E106" s="555" t="s">
        <v>416</v>
      </c>
      <c r="F106" s="175" t="s">
        <v>417</v>
      </c>
      <c r="I106" s="175" t="s">
        <v>416</v>
      </c>
    </row>
    <row r="107" spans="1:9" s="6" customFormat="1" ht="357">
      <c r="A107" s="20" t="s">
        <v>466</v>
      </c>
      <c r="B107" s="21" t="s">
        <v>487</v>
      </c>
      <c r="C107" s="21" t="s">
        <v>474</v>
      </c>
      <c r="D107" s="22">
        <v>1</v>
      </c>
      <c r="E107" s="551">
        <f>5400*(1+F468)</f>
        <v>5456.8585100178425</v>
      </c>
      <c r="F107" s="23">
        <f>COMPOSIÇÕES!E107*COMPOSIÇÕES!D107</f>
        <v>5456.8585100178425</v>
      </c>
      <c r="I107" s="23">
        <v>5400</v>
      </c>
    </row>
    <row r="108" spans="1:9" s="6" customFormat="1" ht="15" customHeight="1">
      <c r="A108" s="11" t="s">
        <v>488</v>
      </c>
      <c r="B108" s="8" t="s">
        <v>489</v>
      </c>
      <c r="C108" s="8" t="s">
        <v>433</v>
      </c>
      <c r="D108" s="9">
        <v>1</v>
      </c>
      <c r="E108" s="595">
        <v>15.3</v>
      </c>
      <c r="F108" s="10">
        <f>COMPOSIÇÕES!D108*COMPOSIÇÕES!E108</f>
        <v>15.3</v>
      </c>
      <c r="I108" s="10">
        <v>14.83</v>
      </c>
    </row>
    <row r="109" spans="1:9" s="6" customFormat="1" ht="13.5" thickBot="1">
      <c r="A109" s="25" t="s">
        <v>431</v>
      </c>
      <c r="B109" s="26" t="s">
        <v>432</v>
      </c>
      <c r="C109" s="26" t="s">
        <v>433</v>
      </c>
      <c r="D109" s="27">
        <v>1</v>
      </c>
      <c r="E109" s="595">
        <v>11.98</v>
      </c>
      <c r="F109" s="14">
        <f>COMPOSIÇÕES!D109*COMPOSIÇÕES!E109</f>
        <v>11.98</v>
      </c>
      <c r="I109" s="10">
        <v>11.77</v>
      </c>
    </row>
    <row r="110" spans="1:9" s="6" customFormat="1" ht="15" customHeight="1" thickBot="1">
      <c r="A110" s="662" t="s">
        <v>436</v>
      </c>
      <c r="B110" s="30"/>
      <c r="C110" s="30"/>
      <c r="D110" s="30"/>
      <c r="E110" s="547"/>
      <c r="F110" s="24">
        <f>SUM(COMPOSIÇÕES!F107:F109)</f>
        <v>5484.138510017842</v>
      </c>
      <c r="I110" s="31"/>
    </row>
    <row r="111" spans="1:9" s="6" customFormat="1" ht="15" customHeight="1" thickBot="1">
      <c r="A111" s="666"/>
      <c r="B111" s="513"/>
      <c r="C111" s="513"/>
      <c r="D111" s="513"/>
      <c r="E111" s="542"/>
      <c r="F111" s="667"/>
      <c r="I111" s="513"/>
    </row>
    <row r="112" spans="1:9" s="6" customFormat="1" ht="15" customHeight="1" thickBot="1">
      <c r="A112" s="662" t="s">
        <v>490</v>
      </c>
      <c r="B112" s="30"/>
      <c r="C112" s="30"/>
      <c r="D112" s="30"/>
      <c r="E112" s="539"/>
      <c r="F112" s="663"/>
      <c r="I112" s="30"/>
    </row>
    <row r="113" spans="1:9" s="6" customFormat="1" ht="13.5" customHeight="1" thickBot="1">
      <c r="A113" s="717" t="s">
        <v>175</v>
      </c>
      <c r="B113" s="718"/>
      <c r="C113" s="718"/>
      <c r="D113" s="718"/>
      <c r="E113" s="718"/>
      <c r="F113" s="719"/>
      <c r="I113" s="524"/>
    </row>
    <row r="114" spans="1:9" s="6" customFormat="1" ht="15" customHeight="1" thickBot="1">
      <c r="A114" s="173" t="s">
        <v>412</v>
      </c>
      <c r="B114" s="174" t="s">
        <v>413</v>
      </c>
      <c r="C114" s="174" t="s">
        <v>414</v>
      </c>
      <c r="D114" s="175" t="s">
        <v>415</v>
      </c>
      <c r="E114" s="555" t="s">
        <v>416</v>
      </c>
      <c r="F114" s="175" t="s">
        <v>417</v>
      </c>
      <c r="I114" s="175" t="s">
        <v>416</v>
      </c>
    </row>
    <row r="115" spans="1:9" s="6" customFormat="1" ht="25.5">
      <c r="A115" s="20" t="s">
        <v>491</v>
      </c>
      <c r="B115" s="21" t="s">
        <v>492</v>
      </c>
      <c r="C115" s="21" t="s">
        <v>474</v>
      </c>
      <c r="D115" s="22">
        <v>1</v>
      </c>
      <c r="E115" s="570">
        <v>1.9</v>
      </c>
      <c r="F115" s="23">
        <f>COMPOSIÇÕES!E115*COMPOSIÇÕES!D115</f>
        <v>1.9</v>
      </c>
      <c r="I115" s="23">
        <v>2.09</v>
      </c>
    </row>
    <row r="116" spans="1:9" s="6" customFormat="1" ht="15" customHeight="1">
      <c r="A116" s="11" t="s">
        <v>493</v>
      </c>
      <c r="B116" s="8" t="s">
        <v>494</v>
      </c>
      <c r="C116" s="8" t="s">
        <v>433</v>
      </c>
      <c r="D116" s="9">
        <v>0.1</v>
      </c>
      <c r="E116" s="595">
        <v>18.54</v>
      </c>
      <c r="F116" s="10">
        <f>COMPOSIÇÕES!D116*COMPOSIÇÕES!E116</f>
        <v>1.854</v>
      </c>
      <c r="I116" s="10">
        <v>17.94</v>
      </c>
    </row>
    <row r="117" spans="1:9" s="6" customFormat="1" ht="15" customHeight="1" thickBot="1">
      <c r="A117" s="25" t="s">
        <v>495</v>
      </c>
      <c r="B117" s="26" t="s">
        <v>496</v>
      </c>
      <c r="C117" s="26" t="s">
        <v>433</v>
      </c>
      <c r="D117" s="27">
        <v>0.1</v>
      </c>
      <c r="E117" s="598">
        <v>14.83</v>
      </c>
      <c r="F117" s="28">
        <f>COMPOSIÇÕES!D117*COMPOSIÇÕES!E117</f>
        <v>1.483</v>
      </c>
      <c r="I117" s="28">
        <v>14.4</v>
      </c>
    </row>
    <row r="118" spans="1:9" s="6" customFormat="1" ht="15" customHeight="1" thickBot="1">
      <c r="A118" s="662" t="s">
        <v>436</v>
      </c>
      <c r="B118" s="30"/>
      <c r="C118" s="30"/>
      <c r="D118" s="30"/>
      <c r="E118" s="547"/>
      <c r="F118" s="668">
        <f>SUM(COMPOSIÇÕES!F115:F117)</f>
        <v>5.237</v>
      </c>
      <c r="I118" s="31"/>
    </row>
    <row r="119" spans="1:9" s="6" customFormat="1" ht="15" customHeight="1" thickBot="1">
      <c r="A119" s="666"/>
      <c r="B119" s="513"/>
      <c r="C119" s="513"/>
      <c r="D119" s="513"/>
      <c r="E119" s="542"/>
      <c r="F119" s="667"/>
      <c r="H119" s="32"/>
      <c r="I119" s="513"/>
    </row>
    <row r="120" spans="1:9" s="6" customFormat="1" ht="31.5" customHeight="1" thickBot="1">
      <c r="A120" s="662" t="s">
        <v>497</v>
      </c>
      <c r="B120" s="30"/>
      <c r="C120" s="30"/>
      <c r="D120" s="30"/>
      <c r="E120" s="539"/>
      <c r="F120" s="663"/>
      <c r="I120" s="30"/>
    </row>
    <row r="121" spans="1:9" s="6" customFormat="1" ht="15" customHeight="1" thickBot="1">
      <c r="A121" s="717" t="s">
        <v>173</v>
      </c>
      <c r="B121" s="718"/>
      <c r="C121" s="718"/>
      <c r="D121" s="718"/>
      <c r="E121" s="718"/>
      <c r="F121" s="719"/>
      <c r="I121" s="524"/>
    </row>
    <row r="122" spans="1:9" s="6" customFormat="1" ht="13.5" thickBot="1">
      <c r="A122" s="173" t="s">
        <v>412</v>
      </c>
      <c r="B122" s="174" t="s">
        <v>413</v>
      </c>
      <c r="C122" s="174" t="s">
        <v>414</v>
      </c>
      <c r="D122" s="175" t="s">
        <v>415</v>
      </c>
      <c r="E122" s="555" t="s">
        <v>416</v>
      </c>
      <c r="F122" s="175" t="s">
        <v>417</v>
      </c>
      <c r="I122" s="175" t="s">
        <v>416</v>
      </c>
    </row>
    <row r="123" spans="1:9" s="6" customFormat="1" ht="25.5">
      <c r="A123" s="20" t="s">
        <v>498</v>
      </c>
      <c r="B123" s="21" t="s">
        <v>1752</v>
      </c>
      <c r="C123" s="21" t="s">
        <v>474</v>
      </c>
      <c r="D123" s="22">
        <v>1</v>
      </c>
      <c r="E123" s="570">
        <v>41.6</v>
      </c>
      <c r="F123" s="23">
        <f>COMPOSIÇÕES!E123*COMPOSIÇÕES!D123</f>
        <v>41.6</v>
      </c>
      <c r="I123" s="23">
        <v>39.99</v>
      </c>
    </row>
    <row r="124" spans="1:9" s="6" customFormat="1" ht="15" customHeight="1">
      <c r="A124" s="11" t="s">
        <v>493</v>
      </c>
      <c r="B124" s="8" t="s">
        <v>494</v>
      </c>
      <c r="C124" s="8" t="s">
        <v>433</v>
      </c>
      <c r="D124" s="9">
        <v>0.5</v>
      </c>
      <c r="E124" s="595">
        <v>18.54</v>
      </c>
      <c r="F124" s="10">
        <f>COMPOSIÇÕES!D124*COMPOSIÇÕES!E124</f>
        <v>9.27</v>
      </c>
      <c r="I124" s="10">
        <v>17.94</v>
      </c>
    </row>
    <row r="125" spans="1:9" s="6" customFormat="1" ht="15" customHeight="1" thickBot="1">
      <c r="A125" s="25" t="s">
        <v>495</v>
      </c>
      <c r="B125" s="26" t="s">
        <v>496</v>
      </c>
      <c r="C125" s="26" t="s">
        <v>433</v>
      </c>
      <c r="D125" s="27">
        <v>0.5</v>
      </c>
      <c r="E125" s="598">
        <v>14.83</v>
      </c>
      <c r="F125" s="28">
        <f>COMPOSIÇÕES!D125*COMPOSIÇÕES!E125</f>
        <v>7.415</v>
      </c>
      <c r="I125" s="28">
        <v>14.4</v>
      </c>
    </row>
    <row r="126" spans="1:9" s="6" customFormat="1" ht="15" customHeight="1" thickBot="1">
      <c r="A126" s="662" t="s">
        <v>436</v>
      </c>
      <c r="B126" s="30"/>
      <c r="C126" s="30"/>
      <c r="D126" s="30"/>
      <c r="E126" s="547"/>
      <c r="F126" s="668">
        <f>SUM(COMPOSIÇÕES!F123:F125)</f>
        <v>58.285000000000004</v>
      </c>
      <c r="I126" s="31"/>
    </row>
    <row r="127" spans="1:9" s="6" customFormat="1" ht="15" customHeight="1" thickBot="1">
      <c r="A127" s="666"/>
      <c r="B127" s="513"/>
      <c r="C127" s="513"/>
      <c r="D127" s="513"/>
      <c r="E127" s="542"/>
      <c r="F127" s="667"/>
      <c r="I127" s="513"/>
    </row>
    <row r="128" spans="1:9" s="6" customFormat="1" ht="30" customHeight="1" thickBot="1">
      <c r="A128" s="662" t="s">
        <v>499</v>
      </c>
      <c r="B128" s="30"/>
      <c r="C128" s="30"/>
      <c r="D128" s="30"/>
      <c r="E128" s="539"/>
      <c r="F128" s="663"/>
      <c r="I128" s="30"/>
    </row>
    <row r="129" spans="1:9" s="6" customFormat="1" ht="13.5" customHeight="1" thickBot="1">
      <c r="A129" s="717" t="s">
        <v>182</v>
      </c>
      <c r="B129" s="718"/>
      <c r="C129" s="718"/>
      <c r="D129" s="718"/>
      <c r="E129" s="718"/>
      <c r="F129" s="719"/>
      <c r="I129" s="524"/>
    </row>
    <row r="130" spans="1:9" s="6" customFormat="1" ht="13.5" thickBot="1">
      <c r="A130" s="173" t="s">
        <v>412</v>
      </c>
      <c r="B130" s="174" t="s">
        <v>413</v>
      </c>
      <c r="C130" s="174" t="s">
        <v>414</v>
      </c>
      <c r="D130" s="175" t="s">
        <v>415</v>
      </c>
      <c r="E130" s="555" t="s">
        <v>416</v>
      </c>
      <c r="F130" s="175" t="s">
        <v>417</v>
      </c>
      <c r="I130" s="175" t="s">
        <v>416</v>
      </c>
    </row>
    <row r="131" spans="1:9" s="6" customFormat="1" ht="51">
      <c r="A131" s="33" t="s">
        <v>500</v>
      </c>
      <c r="B131" s="34" t="s">
        <v>501</v>
      </c>
      <c r="C131" s="34" t="s">
        <v>474</v>
      </c>
      <c r="D131" s="35">
        <v>1</v>
      </c>
      <c r="E131" s="599">
        <v>4.83</v>
      </c>
      <c r="F131" s="36">
        <f>COMPOSIÇÕES!E131*COMPOSIÇÕES!D131</f>
        <v>4.83</v>
      </c>
      <c r="I131" s="36">
        <v>4.83</v>
      </c>
    </row>
    <row r="132" spans="1:9" s="6" customFormat="1" ht="15" customHeight="1">
      <c r="A132" s="11" t="s">
        <v>493</v>
      </c>
      <c r="B132" s="8" t="s">
        <v>494</v>
      </c>
      <c r="C132" s="8" t="s">
        <v>433</v>
      </c>
      <c r="D132" s="9">
        <v>0.25</v>
      </c>
      <c r="E132" s="595">
        <v>18.54</v>
      </c>
      <c r="F132" s="10">
        <f>COMPOSIÇÕES!D132*COMPOSIÇÕES!E132</f>
        <v>4.635</v>
      </c>
      <c r="I132" s="10">
        <v>17.94</v>
      </c>
    </row>
    <row r="133" spans="1:9" s="6" customFormat="1" ht="15" customHeight="1" thickBot="1">
      <c r="A133" s="25" t="s">
        <v>495</v>
      </c>
      <c r="B133" s="26" t="s">
        <v>496</v>
      </c>
      <c r="C133" s="26" t="s">
        <v>433</v>
      </c>
      <c r="D133" s="27">
        <v>0.25</v>
      </c>
      <c r="E133" s="598">
        <v>14.83</v>
      </c>
      <c r="F133" s="28">
        <f>COMPOSIÇÕES!D133*COMPOSIÇÕES!E133</f>
        <v>3.7075</v>
      </c>
      <c r="I133" s="28">
        <v>14.4</v>
      </c>
    </row>
    <row r="134" spans="1:9" s="6" customFormat="1" ht="15" customHeight="1" thickBot="1">
      <c r="A134" s="662" t="s">
        <v>436</v>
      </c>
      <c r="B134" s="30"/>
      <c r="C134" s="30"/>
      <c r="D134" s="30"/>
      <c r="E134" s="547"/>
      <c r="F134" s="37">
        <f>SUM(COMPOSIÇÕES!F131:F133)</f>
        <v>13.1725</v>
      </c>
      <c r="I134" s="31"/>
    </row>
    <row r="135" spans="1:9" s="6" customFormat="1" ht="15" customHeight="1" thickBot="1">
      <c r="A135" s="666"/>
      <c r="B135" s="513"/>
      <c r="C135" s="513"/>
      <c r="D135" s="513"/>
      <c r="E135" s="542"/>
      <c r="F135" s="667"/>
      <c r="I135" s="513"/>
    </row>
    <row r="136" spans="1:9" s="6" customFormat="1" ht="15" customHeight="1" thickBot="1">
      <c r="A136" s="662" t="s">
        <v>502</v>
      </c>
      <c r="B136" s="30"/>
      <c r="C136" s="30"/>
      <c r="D136" s="30"/>
      <c r="E136" s="539"/>
      <c r="F136" s="663"/>
      <c r="I136" s="30"/>
    </row>
    <row r="137" spans="1:9" s="6" customFormat="1" ht="13.5" customHeight="1" thickBot="1">
      <c r="A137" s="717" t="s">
        <v>265</v>
      </c>
      <c r="B137" s="718"/>
      <c r="C137" s="718"/>
      <c r="D137" s="718"/>
      <c r="E137" s="718"/>
      <c r="F137" s="719"/>
      <c r="I137" s="524"/>
    </row>
    <row r="138" spans="1:9" s="6" customFormat="1" ht="13.5" thickBot="1">
      <c r="A138" s="173" t="s">
        <v>412</v>
      </c>
      <c r="B138" s="174" t="s">
        <v>413</v>
      </c>
      <c r="C138" s="174" t="s">
        <v>414</v>
      </c>
      <c r="D138" s="175" t="s">
        <v>415</v>
      </c>
      <c r="E138" s="555" t="s">
        <v>416</v>
      </c>
      <c r="F138" s="175" t="s">
        <v>417</v>
      </c>
      <c r="I138" s="175" t="s">
        <v>416</v>
      </c>
    </row>
    <row r="139" spans="1:9" s="6" customFormat="1" ht="25.5">
      <c r="A139" s="33" t="s">
        <v>503</v>
      </c>
      <c r="B139" s="34" t="s">
        <v>504</v>
      </c>
      <c r="C139" s="34" t="s">
        <v>474</v>
      </c>
      <c r="D139" s="35">
        <v>1</v>
      </c>
      <c r="E139" s="599">
        <v>28</v>
      </c>
      <c r="F139" s="36">
        <f>COMPOSIÇÕES!E139*COMPOSIÇÕES!D139</f>
        <v>28</v>
      </c>
      <c r="I139" s="36">
        <v>28</v>
      </c>
    </row>
    <row r="140" spans="1:9" s="6" customFormat="1" ht="25.5">
      <c r="A140" s="11" t="s">
        <v>505</v>
      </c>
      <c r="B140" s="8" t="s">
        <v>506</v>
      </c>
      <c r="C140" s="8" t="s">
        <v>18</v>
      </c>
      <c r="D140" s="9">
        <v>0.05</v>
      </c>
      <c r="E140" s="595">
        <v>12.9</v>
      </c>
      <c r="F140" s="10">
        <f>COMPOSIÇÕES!D140*COMPOSIÇÕES!E140</f>
        <v>0.645</v>
      </c>
      <c r="I140" s="10">
        <v>13.19</v>
      </c>
    </row>
    <row r="141" spans="1:9" s="6" customFormat="1" ht="25.5">
      <c r="A141" s="25" t="s">
        <v>507</v>
      </c>
      <c r="B141" s="26" t="s">
        <v>508</v>
      </c>
      <c r="C141" s="26" t="s">
        <v>18</v>
      </c>
      <c r="D141" s="27">
        <v>0.05</v>
      </c>
      <c r="E141" s="598">
        <v>35.3</v>
      </c>
      <c r="F141" s="10">
        <f>COMPOSIÇÕES!D141*COMPOSIÇÕES!E141</f>
        <v>1.765</v>
      </c>
      <c r="I141" s="28">
        <v>36.08</v>
      </c>
    </row>
    <row r="142" spans="1:9" s="6" customFormat="1" ht="12.75">
      <c r="A142" s="25" t="s">
        <v>509</v>
      </c>
      <c r="B142" s="26" t="s">
        <v>510</v>
      </c>
      <c r="C142" s="26" t="s">
        <v>18</v>
      </c>
      <c r="D142" s="27">
        <v>0.032</v>
      </c>
      <c r="E142" s="598">
        <v>1.31</v>
      </c>
      <c r="F142" s="10">
        <f>COMPOSIÇÕES!D142*COMPOSIÇÕES!E142</f>
        <v>0.041920000000000006</v>
      </c>
      <c r="I142" s="28">
        <v>1.29</v>
      </c>
    </row>
    <row r="143" spans="1:9" s="6" customFormat="1" ht="15" customHeight="1">
      <c r="A143" s="25" t="s">
        <v>468</v>
      </c>
      <c r="B143" s="26" t="s">
        <v>469</v>
      </c>
      <c r="C143" s="26" t="s">
        <v>433</v>
      </c>
      <c r="D143" s="27">
        <v>0.1</v>
      </c>
      <c r="E143" s="595">
        <v>18.31</v>
      </c>
      <c r="F143" s="10">
        <f>COMPOSIÇÕES!D143*COMPOSIÇÕES!E143</f>
        <v>1.831</v>
      </c>
      <c r="I143" s="10">
        <v>17.72</v>
      </c>
    </row>
    <row r="144" spans="1:9" s="6" customFormat="1" ht="15" customHeight="1" thickBot="1">
      <c r="A144" s="25" t="s">
        <v>470</v>
      </c>
      <c r="B144" s="26" t="s">
        <v>471</v>
      </c>
      <c r="C144" s="26" t="s">
        <v>433</v>
      </c>
      <c r="D144" s="27">
        <v>0.1</v>
      </c>
      <c r="E144" s="595">
        <v>14.66</v>
      </c>
      <c r="F144" s="28">
        <f>COMPOSIÇÕES!D144*COMPOSIÇÕES!E144</f>
        <v>1.4660000000000002</v>
      </c>
      <c r="I144" s="10">
        <v>14.24</v>
      </c>
    </row>
    <row r="145" spans="1:9" s="6" customFormat="1" ht="15" customHeight="1" thickBot="1">
      <c r="A145" s="662" t="s">
        <v>436</v>
      </c>
      <c r="B145" s="30"/>
      <c r="C145" s="30"/>
      <c r="D145" s="30"/>
      <c r="E145" s="547"/>
      <c r="F145" s="668">
        <f>SUM(COMPOSIÇÕES!F139:F144)</f>
        <v>33.748920000000005</v>
      </c>
      <c r="I145" s="31"/>
    </row>
    <row r="146" spans="1:9" s="6" customFormat="1" ht="15" customHeight="1" thickBot="1">
      <c r="A146" s="666"/>
      <c r="B146" s="513"/>
      <c r="C146" s="513"/>
      <c r="D146" s="513"/>
      <c r="E146" s="542"/>
      <c r="F146" s="667"/>
      <c r="I146" s="513"/>
    </row>
    <row r="147" spans="1:9" s="6" customFormat="1" ht="15" customHeight="1" thickBot="1">
      <c r="A147" s="662" t="s">
        <v>511</v>
      </c>
      <c r="B147" s="30"/>
      <c r="C147" s="30"/>
      <c r="D147" s="30"/>
      <c r="E147" s="539"/>
      <c r="F147" s="663"/>
      <c r="I147" s="30"/>
    </row>
    <row r="148" spans="1:9" s="6" customFormat="1" ht="13.5" customHeight="1" thickBot="1">
      <c r="A148" s="717" t="s">
        <v>268</v>
      </c>
      <c r="B148" s="718"/>
      <c r="C148" s="718"/>
      <c r="D148" s="718"/>
      <c r="E148" s="718"/>
      <c r="F148" s="719"/>
      <c r="I148" s="524"/>
    </row>
    <row r="149" spans="1:9" s="6" customFormat="1" ht="15" customHeight="1" thickBot="1">
      <c r="A149" s="173" t="s">
        <v>412</v>
      </c>
      <c r="B149" s="174" t="s">
        <v>413</v>
      </c>
      <c r="C149" s="174" t="s">
        <v>414</v>
      </c>
      <c r="D149" s="175" t="s">
        <v>415</v>
      </c>
      <c r="E149" s="555" t="s">
        <v>416</v>
      </c>
      <c r="F149" s="175" t="s">
        <v>417</v>
      </c>
      <c r="I149" s="175" t="s">
        <v>416</v>
      </c>
    </row>
    <row r="150" spans="1:9" s="6" customFormat="1" ht="25.5">
      <c r="A150" s="33" t="s">
        <v>512</v>
      </c>
      <c r="B150" s="34" t="s">
        <v>513</v>
      </c>
      <c r="C150" s="34" t="s">
        <v>474</v>
      </c>
      <c r="D150" s="35">
        <v>1</v>
      </c>
      <c r="E150" s="599">
        <v>6.7</v>
      </c>
      <c r="F150" s="36">
        <f>COMPOSIÇÕES!E150*COMPOSIÇÕES!D150</f>
        <v>6.7</v>
      </c>
      <c r="I150" s="36">
        <v>6.7</v>
      </c>
    </row>
    <row r="151" spans="1:9" s="6" customFormat="1" ht="15" customHeight="1">
      <c r="A151" s="11" t="s">
        <v>505</v>
      </c>
      <c r="B151" s="8" t="s">
        <v>506</v>
      </c>
      <c r="C151" s="8" t="s">
        <v>18</v>
      </c>
      <c r="D151" s="9">
        <v>0.05</v>
      </c>
      <c r="E151" s="595">
        <v>12.9</v>
      </c>
      <c r="F151" s="10">
        <f>COMPOSIÇÕES!D151*COMPOSIÇÕES!E151</f>
        <v>0.645</v>
      </c>
      <c r="G151" s="32"/>
      <c r="I151" s="10">
        <v>13.19</v>
      </c>
    </row>
    <row r="152" spans="1:9" s="6" customFormat="1" ht="15" customHeight="1">
      <c r="A152" s="25" t="s">
        <v>507</v>
      </c>
      <c r="B152" s="26" t="s">
        <v>508</v>
      </c>
      <c r="C152" s="26" t="s">
        <v>18</v>
      </c>
      <c r="D152" s="27">
        <v>0.05</v>
      </c>
      <c r="E152" s="598">
        <v>35.3</v>
      </c>
      <c r="F152" s="10">
        <f>COMPOSIÇÕES!D152*COMPOSIÇÕES!E152</f>
        <v>1.765</v>
      </c>
      <c r="I152" s="28">
        <v>36.08</v>
      </c>
    </row>
    <row r="153" spans="1:9" s="6" customFormat="1" ht="15" customHeight="1">
      <c r="A153" s="25" t="s">
        <v>509</v>
      </c>
      <c r="B153" s="26" t="s">
        <v>510</v>
      </c>
      <c r="C153" s="26" t="s">
        <v>18</v>
      </c>
      <c r="D153" s="27">
        <v>0.032</v>
      </c>
      <c r="E153" s="598">
        <v>1.31</v>
      </c>
      <c r="F153" s="10">
        <f>COMPOSIÇÕES!D153*COMPOSIÇÕES!E153</f>
        <v>0.041920000000000006</v>
      </c>
      <c r="I153" s="28">
        <v>1.29</v>
      </c>
    </row>
    <row r="154" spans="1:9" s="6" customFormat="1" ht="15" customHeight="1">
      <c r="A154" s="25" t="s">
        <v>468</v>
      </c>
      <c r="B154" s="26" t="s">
        <v>469</v>
      </c>
      <c r="C154" s="26" t="s">
        <v>433</v>
      </c>
      <c r="D154" s="27">
        <v>0.1</v>
      </c>
      <c r="E154" s="595">
        <v>18.31</v>
      </c>
      <c r="F154" s="10">
        <f>COMPOSIÇÕES!D154*COMPOSIÇÕES!E154</f>
        <v>1.831</v>
      </c>
      <c r="I154" s="10">
        <v>17.72</v>
      </c>
    </row>
    <row r="155" spans="1:9" s="6" customFormat="1" ht="15" customHeight="1" thickBot="1">
      <c r="A155" s="25" t="s">
        <v>470</v>
      </c>
      <c r="B155" s="26" t="s">
        <v>471</v>
      </c>
      <c r="C155" s="26" t="s">
        <v>433</v>
      </c>
      <c r="D155" s="27">
        <v>0.1</v>
      </c>
      <c r="E155" s="595">
        <v>14.66</v>
      </c>
      <c r="F155" s="28">
        <f>COMPOSIÇÕES!D155*COMPOSIÇÕES!E155</f>
        <v>1.4660000000000002</v>
      </c>
      <c r="I155" s="10">
        <v>14.24</v>
      </c>
    </row>
    <row r="156" spans="1:9" s="6" customFormat="1" ht="15" customHeight="1" thickBot="1">
      <c r="A156" s="662" t="s">
        <v>436</v>
      </c>
      <c r="B156" s="30"/>
      <c r="C156" s="30"/>
      <c r="D156" s="30"/>
      <c r="E156" s="547"/>
      <c r="F156" s="668">
        <f>SUM(COMPOSIÇÕES!F150:F155)</f>
        <v>12.448920000000001</v>
      </c>
      <c r="I156" s="31"/>
    </row>
    <row r="157" spans="1:9" s="6" customFormat="1" ht="15" customHeight="1" thickBot="1">
      <c r="A157" s="666"/>
      <c r="B157" s="513"/>
      <c r="C157" s="513"/>
      <c r="D157" s="513"/>
      <c r="E157" s="542"/>
      <c r="F157" s="667"/>
      <c r="I157" s="513"/>
    </row>
    <row r="158" spans="1:9" s="6" customFormat="1" ht="13.5" thickBot="1">
      <c r="A158" s="662" t="s">
        <v>514</v>
      </c>
      <c r="B158" s="30"/>
      <c r="C158" s="30"/>
      <c r="D158" s="30"/>
      <c r="E158" s="539"/>
      <c r="F158" s="663"/>
      <c r="I158" s="30"/>
    </row>
    <row r="159" spans="1:9" s="6" customFormat="1" ht="13.5" customHeight="1" thickBot="1">
      <c r="A159" s="717" t="s">
        <v>289</v>
      </c>
      <c r="B159" s="718"/>
      <c r="C159" s="718"/>
      <c r="D159" s="718"/>
      <c r="E159" s="718"/>
      <c r="F159" s="719"/>
      <c r="I159" s="524"/>
    </row>
    <row r="160" spans="1:9" s="6" customFormat="1" ht="13.5" thickBot="1">
      <c r="A160" s="173" t="s">
        <v>412</v>
      </c>
      <c r="B160" s="174" t="s">
        <v>413</v>
      </c>
      <c r="C160" s="174" t="s">
        <v>414</v>
      </c>
      <c r="D160" s="175" t="s">
        <v>415</v>
      </c>
      <c r="E160" s="555" t="s">
        <v>416</v>
      </c>
      <c r="F160" s="175" t="s">
        <v>417</v>
      </c>
      <c r="I160" s="175" t="s">
        <v>416</v>
      </c>
    </row>
    <row r="161" spans="1:9" s="6" customFormat="1" ht="38.25">
      <c r="A161" s="33" t="s">
        <v>515</v>
      </c>
      <c r="B161" s="34" t="s">
        <v>516</v>
      </c>
      <c r="C161" s="34" t="s">
        <v>474</v>
      </c>
      <c r="D161" s="35">
        <v>1</v>
      </c>
      <c r="E161" s="599">
        <v>3.82</v>
      </c>
      <c r="F161" s="36">
        <f>COMPOSIÇÕES!E161*COMPOSIÇÕES!D161</f>
        <v>3.82</v>
      </c>
      <c r="I161" s="36">
        <v>3.1</v>
      </c>
    </row>
    <row r="162" spans="1:9" s="6" customFormat="1" ht="15" customHeight="1">
      <c r="A162" s="11" t="s">
        <v>505</v>
      </c>
      <c r="B162" s="8" t="s">
        <v>506</v>
      </c>
      <c r="C162" s="8" t="s">
        <v>18</v>
      </c>
      <c r="D162" s="9">
        <v>0.025</v>
      </c>
      <c r="E162" s="595">
        <v>12.9</v>
      </c>
      <c r="F162" s="10">
        <f>COMPOSIÇÕES!D162*COMPOSIÇÕES!E162</f>
        <v>0.3225</v>
      </c>
      <c r="I162" s="10">
        <v>13.19</v>
      </c>
    </row>
    <row r="163" spans="1:9" s="6" customFormat="1" ht="15" customHeight="1">
      <c r="A163" s="25" t="s">
        <v>507</v>
      </c>
      <c r="B163" s="26" t="s">
        <v>508</v>
      </c>
      <c r="C163" s="26" t="s">
        <v>18</v>
      </c>
      <c r="D163" s="27">
        <v>0.008</v>
      </c>
      <c r="E163" s="598">
        <v>35.3</v>
      </c>
      <c r="F163" s="10">
        <f>COMPOSIÇÕES!D163*COMPOSIÇÕES!E163</f>
        <v>0.2824</v>
      </c>
      <c r="I163" s="28">
        <v>36.08</v>
      </c>
    </row>
    <row r="164" spans="1:9" s="6" customFormat="1" ht="15" customHeight="1">
      <c r="A164" s="25" t="s">
        <v>509</v>
      </c>
      <c r="B164" s="26" t="s">
        <v>510</v>
      </c>
      <c r="C164" s="26" t="s">
        <v>18</v>
      </c>
      <c r="D164" s="27">
        <v>0.05</v>
      </c>
      <c r="E164" s="598">
        <v>1.31</v>
      </c>
      <c r="F164" s="10">
        <f>COMPOSIÇÕES!D164*COMPOSIÇÕES!E164</f>
        <v>0.0655</v>
      </c>
      <c r="I164" s="28">
        <v>1.29</v>
      </c>
    </row>
    <row r="165" spans="1:9" s="6" customFormat="1" ht="15" customHeight="1">
      <c r="A165" s="25" t="s">
        <v>468</v>
      </c>
      <c r="B165" s="26" t="s">
        <v>469</v>
      </c>
      <c r="C165" s="26" t="s">
        <v>433</v>
      </c>
      <c r="D165" s="27">
        <v>0.1</v>
      </c>
      <c r="E165" s="595">
        <v>18.31</v>
      </c>
      <c r="F165" s="10">
        <f>COMPOSIÇÕES!D165*COMPOSIÇÕES!E165</f>
        <v>1.831</v>
      </c>
      <c r="I165" s="10">
        <v>17.72</v>
      </c>
    </row>
    <row r="166" spans="1:9" s="6" customFormat="1" ht="15" customHeight="1" thickBot="1">
      <c r="A166" s="25" t="s">
        <v>470</v>
      </c>
      <c r="B166" s="26" t="s">
        <v>471</v>
      </c>
      <c r="C166" s="26" t="s">
        <v>433</v>
      </c>
      <c r="D166" s="27">
        <v>0.1</v>
      </c>
      <c r="E166" s="595">
        <v>14.66</v>
      </c>
      <c r="F166" s="28">
        <f>COMPOSIÇÕES!D166*COMPOSIÇÕES!E166</f>
        <v>1.4660000000000002</v>
      </c>
      <c r="I166" s="10">
        <v>14.24</v>
      </c>
    </row>
    <row r="167" spans="1:9" s="6" customFormat="1" ht="15" customHeight="1" thickBot="1">
      <c r="A167" s="662" t="s">
        <v>436</v>
      </c>
      <c r="B167" s="30"/>
      <c r="C167" s="30"/>
      <c r="D167" s="30"/>
      <c r="E167" s="547"/>
      <c r="F167" s="668">
        <f>SUM(COMPOSIÇÕES!F161:F166)</f>
        <v>7.787400000000001</v>
      </c>
      <c r="I167" s="31"/>
    </row>
    <row r="168" spans="1:9" s="6" customFormat="1" ht="15" customHeight="1" thickBot="1">
      <c r="A168" s="666"/>
      <c r="B168" s="513"/>
      <c r="C168" s="513"/>
      <c r="D168" s="513"/>
      <c r="E168" s="542"/>
      <c r="F168" s="667"/>
      <c r="I168" s="513"/>
    </row>
    <row r="169" spans="1:9" s="6" customFormat="1" ht="15" customHeight="1" thickBot="1">
      <c r="A169" s="662" t="s">
        <v>517</v>
      </c>
      <c r="B169" s="30"/>
      <c r="C169" s="30"/>
      <c r="D169" s="30"/>
      <c r="E169" s="539"/>
      <c r="F169" s="663"/>
      <c r="I169" s="30"/>
    </row>
    <row r="170" spans="1:9" s="6" customFormat="1" ht="13.5" customHeight="1" thickBot="1">
      <c r="A170" s="717" t="s">
        <v>271</v>
      </c>
      <c r="B170" s="718"/>
      <c r="C170" s="718"/>
      <c r="D170" s="718"/>
      <c r="E170" s="718"/>
      <c r="F170" s="719"/>
      <c r="I170" s="524"/>
    </row>
    <row r="171" spans="1:9" s="6" customFormat="1" ht="13.5" thickBot="1">
      <c r="A171" s="173" t="s">
        <v>412</v>
      </c>
      <c r="B171" s="174" t="s">
        <v>413</v>
      </c>
      <c r="C171" s="174" t="s">
        <v>414</v>
      </c>
      <c r="D171" s="175" t="s">
        <v>415</v>
      </c>
      <c r="E171" s="555" t="s">
        <v>416</v>
      </c>
      <c r="F171" s="175" t="s">
        <v>417</v>
      </c>
      <c r="I171" s="175" t="s">
        <v>416</v>
      </c>
    </row>
    <row r="172" spans="1:9" s="6" customFormat="1" ht="25.5">
      <c r="A172" s="33" t="s">
        <v>518</v>
      </c>
      <c r="B172" s="34" t="s">
        <v>519</v>
      </c>
      <c r="C172" s="34" t="s">
        <v>474</v>
      </c>
      <c r="D172" s="35">
        <v>1</v>
      </c>
      <c r="E172" s="599">
        <v>0.6</v>
      </c>
      <c r="F172" s="36">
        <f>COMPOSIÇÕES!E172*COMPOSIÇÕES!D172</f>
        <v>0.6</v>
      </c>
      <c r="I172" s="36">
        <v>0.6</v>
      </c>
    </row>
    <row r="173" spans="1:9" s="6" customFormat="1" ht="25.5">
      <c r="A173" s="11" t="s">
        <v>505</v>
      </c>
      <c r="B173" s="8" t="s">
        <v>506</v>
      </c>
      <c r="C173" s="8" t="s">
        <v>18</v>
      </c>
      <c r="D173" s="9">
        <v>0.025</v>
      </c>
      <c r="E173" s="595">
        <v>12.9</v>
      </c>
      <c r="F173" s="10">
        <f>COMPOSIÇÕES!D173*COMPOSIÇÕES!E173</f>
        <v>0.3225</v>
      </c>
      <c r="I173" s="10">
        <v>13.19</v>
      </c>
    </row>
    <row r="174" spans="1:9" s="6" customFormat="1" ht="15" customHeight="1">
      <c r="A174" s="25" t="s">
        <v>507</v>
      </c>
      <c r="B174" s="26" t="s">
        <v>508</v>
      </c>
      <c r="C174" s="26" t="s">
        <v>18</v>
      </c>
      <c r="D174" s="27">
        <v>0.008</v>
      </c>
      <c r="E174" s="598">
        <v>35.3</v>
      </c>
      <c r="F174" s="10">
        <f>COMPOSIÇÕES!D174*COMPOSIÇÕES!E174</f>
        <v>0.2824</v>
      </c>
      <c r="I174" s="28">
        <v>36.08</v>
      </c>
    </row>
    <row r="175" spans="1:9" s="6" customFormat="1" ht="15" customHeight="1">
      <c r="A175" s="25" t="s">
        <v>509</v>
      </c>
      <c r="B175" s="26" t="s">
        <v>510</v>
      </c>
      <c r="C175" s="26" t="s">
        <v>18</v>
      </c>
      <c r="D175" s="27">
        <v>0.013</v>
      </c>
      <c r="E175" s="598">
        <v>1.31</v>
      </c>
      <c r="F175" s="10">
        <f>COMPOSIÇÕES!D175*COMPOSIÇÕES!E175</f>
        <v>0.01703</v>
      </c>
      <c r="I175" s="28">
        <v>1.29</v>
      </c>
    </row>
    <row r="176" spans="1:9" s="6" customFormat="1" ht="15" customHeight="1">
      <c r="A176" s="25" t="s">
        <v>468</v>
      </c>
      <c r="B176" s="26" t="s">
        <v>469</v>
      </c>
      <c r="C176" s="26" t="s">
        <v>433</v>
      </c>
      <c r="D176" s="27">
        <v>0.04</v>
      </c>
      <c r="E176" s="595">
        <v>18.31</v>
      </c>
      <c r="F176" s="10">
        <f>COMPOSIÇÕES!D176*COMPOSIÇÕES!E176</f>
        <v>0.7323999999999999</v>
      </c>
      <c r="I176" s="10">
        <v>17.72</v>
      </c>
    </row>
    <row r="177" spans="1:9" s="6" customFormat="1" ht="15" customHeight="1" thickBot="1">
      <c r="A177" s="25" t="s">
        <v>470</v>
      </c>
      <c r="B177" s="26" t="s">
        <v>471</v>
      </c>
      <c r="C177" s="26" t="s">
        <v>433</v>
      </c>
      <c r="D177" s="27">
        <v>0.04</v>
      </c>
      <c r="E177" s="595">
        <v>14.66</v>
      </c>
      <c r="F177" s="28">
        <f>COMPOSIÇÕES!D177*COMPOSIÇÕES!E177</f>
        <v>0.5864</v>
      </c>
      <c r="I177" s="10">
        <v>14.24</v>
      </c>
    </row>
    <row r="178" spans="1:9" s="6" customFormat="1" ht="15" customHeight="1" thickBot="1">
      <c r="A178" s="662" t="s">
        <v>436</v>
      </c>
      <c r="B178" s="30"/>
      <c r="C178" s="30"/>
      <c r="D178" s="30"/>
      <c r="E178" s="547"/>
      <c r="F178" s="668">
        <f>SUM(COMPOSIÇÕES!F172:F177)</f>
        <v>2.54073</v>
      </c>
      <c r="I178" s="31"/>
    </row>
    <row r="179" spans="1:9" s="6" customFormat="1" ht="28.5" customHeight="1" thickBot="1">
      <c r="A179" s="666"/>
      <c r="B179" s="513"/>
      <c r="C179" s="513"/>
      <c r="D179" s="513"/>
      <c r="E179" s="542"/>
      <c r="F179" s="667"/>
      <c r="I179" s="513"/>
    </row>
    <row r="180" spans="1:9" s="6" customFormat="1" ht="15" customHeight="1" thickBot="1">
      <c r="A180" s="662" t="s">
        <v>520</v>
      </c>
      <c r="B180" s="30"/>
      <c r="C180" s="30"/>
      <c r="D180" s="30"/>
      <c r="E180" s="539"/>
      <c r="F180" s="663"/>
      <c r="I180" s="30"/>
    </row>
    <row r="181" spans="1:9" s="6" customFormat="1" ht="13.5" customHeight="1" thickBot="1">
      <c r="A181" s="717" t="s">
        <v>216</v>
      </c>
      <c r="B181" s="718"/>
      <c r="C181" s="718"/>
      <c r="D181" s="718"/>
      <c r="E181" s="718"/>
      <c r="F181" s="719"/>
      <c r="I181" s="524"/>
    </row>
    <row r="182" spans="1:9" s="6" customFormat="1" ht="13.5" thickBot="1">
      <c r="A182" s="173" t="s">
        <v>412</v>
      </c>
      <c r="B182" s="174" t="s">
        <v>413</v>
      </c>
      <c r="C182" s="174" t="s">
        <v>414</v>
      </c>
      <c r="D182" s="175" t="s">
        <v>415</v>
      </c>
      <c r="E182" s="555" t="s">
        <v>416</v>
      </c>
      <c r="F182" s="175" t="s">
        <v>417</v>
      </c>
      <c r="I182" s="175" t="s">
        <v>416</v>
      </c>
    </row>
    <row r="183" spans="1:9" s="6" customFormat="1" ht="51">
      <c r="A183" s="33" t="s">
        <v>521</v>
      </c>
      <c r="B183" s="34" t="s">
        <v>522</v>
      </c>
      <c r="C183" s="34" t="s">
        <v>474</v>
      </c>
      <c r="D183" s="35">
        <v>1</v>
      </c>
      <c r="E183" s="599">
        <v>57.9</v>
      </c>
      <c r="F183" s="36">
        <f>COMPOSIÇÕES!E183*COMPOSIÇÕES!D183</f>
        <v>57.9</v>
      </c>
      <c r="I183" s="36">
        <v>79.9</v>
      </c>
    </row>
    <row r="184" spans="1:9" s="6" customFormat="1" ht="15" customHeight="1">
      <c r="A184" s="11" t="s">
        <v>493</v>
      </c>
      <c r="B184" s="8" t="s">
        <v>494</v>
      </c>
      <c r="C184" s="8" t="s">
        <v>433</v>
      </c>
      <c r="D184" s="9">
        <v>0.2</v>
      </c>
      <c r="E184" s="595">
        <v>18.54</v>
      </c>
      <c r="F184" s="10">
        <f>COMPOSIÇÕES!D184*COMPOSIÇÕES!E184</f>
        <v>3.708</v>
      </c>
      <c r="I184" s="10">
        <v>17.94</v>
      </c>
    </row>
    <row r="185" spans="1:9" s="6" customFormat="1" ht="15" customHeight="1" thickBot="1">
      <c r="A185" s="25" t="s">
        <v>495</v>
      </c>
      <c r="B185" s="26" t="s">
        <v>496</v>
      </c>
      <c r="C185" s="26" t="s">
        <v>433</v>
      </c>
      <c r="D185" s="27">
        <v>0.2</v>
      </c>
      <c r="E185" s="598">
        <v>14.83</v>
      </c>
      <c r="F185" s="10">
        <f>COMPOSIÇÕES!D185*COMPOSIÇÕES!E185</f>
        <v>2.966</v>
      </c>
      <c r="I185" s="28">
        <v>14.4</v>
      </c>
    </row>
    <row r="186" spans="1:9" ht="16.5" thickBot="1">
      <c r="A186" s="662" t="s">
        <v>436</v>
      </c>
      <c r="B186" s="30"/>
      <c r="C186" s="30"/>
      <c r="D186" s="30"/>
      <c r="E186" s="547"/>
      <c r="F186" s="37">
        <f>SUM(COMPOSIÇÕES!F183:F185)</f>
        <v>64.574</v>
      </c>
      <c r="I186" s="31"/>
    </row>
    <row r="187" spans="1:9" ht="16.5" thickBot="1">
      <c r="A187" s="666"/>
      <c r="B187" s="513"/>
      <c r="C187" s="513"/>
      <c r="D187" s="513"/>
      <c r="E187" s="542"/>
      <c r="F187" s="667"/>
      <c r="I187" s="513"/>
    </row>
    <row r="188" spans="1:9" s="6" customFormat="1" ht="15" customHeight="1" thickBot="1">
      <c r="A188" s="662" t="s">
        <v>524</v>
      </c>
      <c r="B188" s="30"/>
      <c r="C188" s="30"/>
      <c r="D188" s="30"/>
      <c r="E188" s="539"/>
      <c r="F188" s="663"/>
      <c r="I188" s="30"/>
    </row>
    <row r="189" spans="1:9" s="6" customFormat="1" ht="13.5" customHeight="1" thickBot="1">
      <c r="A189" s="717" t="s">
        <v>525</v>
      </c>
      <c r="B189" s="718"/>
      <c r="C189" s="718"/>
      <c r="D189" s="718"/>
      <c r="E189" s="718"/>
      <c r="F189" s="719"/>
      <c r="I189" s="524"/>
    </row>
    <row r="190" spans="1:9" s="6" customFormat="1" ht="13.5" thickBot="1">
      <c r="A190" s="173" t="s">
        <v>412</v>
      </c>
      <c r="B190" s="174" t="s">
        <v>413</v>
      </c>
      <c r="C190" s="174" t="s">
        <v>414</v>
      </c>
      <c r="D190" s="175" t="s">
        <v>415</v>
      </c>
      <c r="E190" s="555" t="s">
        <v>416</v>
      </c>
      <c r="F190" s="175" t="s">
        <v>417</v>
      </c>
      <c r="I190" s="175" t="s">
        <v>416</v>
      </c>
    </row>
    <row r="191" spans="1:9" s="6" customFormat="1" ht="39" thickBot="1">
      <c r="A191" s="33" t="s">
        <v>468</v>
      </c>
      <c r="B191" s="34" t="s">
        <v>526</v>
      </c>
      <c r="C191" s="34" t="s">
        <v>433</v>
      </c>
      <c r="D191" s="35">
        <v>0.4</v>
      </c>
      <c r="E191" s="595">
        <v>18.31</v>
      </c>
      <c r="F191" s="36">
        <f>COMPOSIÇÕES!E191*COMPOSIÇÕES!D191</f>
        <v>7.324</v>
      </c>
      <c r="I191" s="10">
        <v>17.72</v>
      </c>
    </row>
    <row r="192" spans="1:9" s="6" customFormat="1" ht="15" customHeight="1" thickBot="1">
      <c r="A192" s="33" t="s">
        <v>527</v>
      </c>
      <c r="B192" s="34" t="s">
        <v>528</v>
      </c>
      <c r="C192" s="34" t="s">
        <v>529</v>
      </c>
      <c r="D192" s="35">
        <v>1</v>
      </c>
      <c r="E192" s="599">
        <v>12.46</v>
      </c>
      <c r="F192" s="36">
        <f>COMPOSIÇÕES!E192*COMPOSIÇÕES!D192</f>
        <v>12.46</v>
      </c>
      <c r="I192" s="36">
        <v>12.46</v>
      </c>
    </row>
    <row r="193" spans="1:9" s="6" customFormat="1" ht="15" customHeight="1" thickBot="1">
      <c r="A193" s="33" t="s">
        <v>530</v>
      </c>
      <c r="B193" s="34" t="s">
        <v>531</v>
      </c>
      <c r="C193" s="34" t="s">
        <v>529</v>
      </c>
      <c r="D193" s="35">
        <v>1</v>
      </c>
      <c r="E193" s="599">
        <v>3.75</v>
      </c>
      <c r="F193" s="36">
        <f>COMPOSIÇÕES!E193*COMPOSIÇÕES!D193</f>
        <v>3.75</v>
      </c>
      <c r="I193" s="36">
        <v>4.31</v>
      </c>
    </row>
    <row r="194" spans="1:9" ht="16.5" thickBot="1">
      <c r="A194" s="662" t="s">
        <v>532</v>
      </c>
      <c r="B194" s="30"/>
      <c r="C194" s="30"/>
      <c r="D194" s="30"/>
      <c r="E194" s="547"/>
      <c r="F194" s="37">
        <f>SUM(COMPOSIÇÕES!F191:F193)</f>
        <v>23.534</v>
      </c>
      <c r="G194"/>
      <c r="I194" s="31"/>
    </row>
    <row r="195" spans="1:9" s="6" customFormat="1" ht="15" customHeight="1" thickBot="1">
      <c r="A195" s="666" t="s">
        <v>533</v>
      </c>
      <c r="B195" s="513"/>
      <c r="C195" s="513"/>
      <c r="D195" s="513"/>
      <c r="E195" s="542"/>
      <c r="F195" s="667"/>
      <c r="I195" s="513"/>
    </row>
    <row r="196" spans="1:9" s="6" customFormat="1" ht="20.25" customHeight="1" thickBot="1">
      <c r="A196" s="670"/>
      <c r="B196" s="671"/>
      <c r="C196" s="671"/>
      <c r="D196" s="671"/>
      <c r="E196" s="672"/>
      <c r="F196" s="673"/>
      <c r="I196" s="38"/>
    </row>
    <row r="197" spans="1:9" s="6" customFormat="1" ht="15" customHeight="1" thickBot="1">
      <c r="A197" s="662" t="s">
        <v>534</v>
      </c>
      <c r="B197" s="30"/>
      <c r="C197" s="30"/>
      <c r="D197" s="30"/>
      <c r="E197" s="539"/>
      <c r="F197" s="663"/>
      <c r="I197" s="30"/>
    </row>
    <row r="198" spans="1:9" s="6" customFormat="1" ht="13.5" customHeight="1" thickBot="1">
      <c r="A198" s="717" t="s">
        <v>348</v>
      </c>
      <c r="B198" s="718"/>
      <c r="C198" s="718"/>
      <c r="D198" s="718"/>
      <c r="E198" s="718"/>
      <c r="F198" s="719"/>
      <c r="I198" s="524"/>
    </row>
    <row r="199" spans="1:9" s="6" customFormat="1" ht="13.5" thickBot="1">
      <c r="A199" s="173" t="s">
        <v>412</v>
      </c>
      <c r="B199" s="174" t="s">
        <v>413</v>
      </c>
      <c r="C199" s="174" t="s">
        <v>414</v>
      </c>
      <c r="D199" s="175" t="s">
        <v>415</v>
      </c>
      <c r="E199" s="555" t="s">
        <v>416</v>
      </c>
      <c r="F199" s="175" t="s">
        <v>417</v>
      </c>
      <c r="I199" s="175" t="s">
        <v>416</v>
      </c>
    </row>
    <row r="200" spans="1:9" s="6" customFormat="1" ht="26.25" thickBot="1">
      <c r="A200" s="33" t="s">
        <v>535</v>
      </c>
      <c r="B200" s="34" t="s">
        <v>536</v>
      </c>
      <c r="C200" s="34" t="s">
        <v>537</v>
      </c>
      <c r="D200" s="35">
        <v>1.05</v>
      </c>
      <c r="E200" s="599">
        <v>16.9</v>
      </c>
      <c r="F200" s="36">
        <f>COMPOSIÇÕES!E200*COMPOSIÇÕES!D200</f>
        <v>17.745</v>
      </c>
      <c r="I200" s="36">
        <v>16.9</v>
      </c>
    </row>
    <row r="201" spans="1:9" s="6" customFormat="1" ht="26.25" thickBot="1">
      <c r="A201" s="33" t="s">
        <v>538</v>
      </c>
      <c r="B201" s="34" t="s">
        <v>539</v>
      </c>
      <c r="C201" s="34" t="s">
        <v>95</v>
      </c>
      <c r="D201" s="35">
        <v>0.26</v>
      </c>
      <c r="E201" s="599">
        <v>2.9</v>
      </c>
      <c r="F201" s="36">
        <f>COMPOSIÇÕES!E201*COMPOSIÇÕES!D201</f>
        <v>0.754</v>
      </c>
      <c r="I201" s="36">
        <v>2.9</v>
      </c>
    </row>
    <row r="202" spans="1:9" s="6" customFormat="1" ht="26.25" thickBot="1">
      <c r="A202" s="33" t="s">
        <v>488</v>
      </c>
      <c r="B202" s="34" t="s">
        <v>582</v>
      </c>
      <c r="C202" s="34" t="s">
        <v>433</v>
      </c>
      <c r="D202" s="35">
        <v>0.4</v>
      </c>
      <c r="E202" s="595">
        <v>15.3</v>
      </c>
      <c r="F202" s="36">
        <f>COMPOSIÇÕES!E202*COMPOSIÇÕES!D202</f>
        <v>6.120000000000001</v>
      </c>
      <c r="I202" s="10">
        <v>14.83</v>
      </c>
    </row>
    <row r="203" spans="1:9" s="6" customFormat="1" ht="26.25" thickBot="1">
      <c r="A203" s="33" t="s">
        <v>431</v>
      </c>
      <c r="B203" s="34" t="s">
        <v>540</v>
      </c>
      <c r="C203" s="34" t="s">
        <v>433</v>
      </c>
      <c r="D203" s="35">
        <v>0.34</v>
      </c>
      <c r="E203" s="595">
        <v>11.98</v>
      </c>
      <c r="F203" s="36">
        <f>COMPOSIÇÕES!E203*COMPOSIÇÕES!D203</f>
        <v>4.073200000000001</v>
      </c>
      <c r="I203" s="10">
        <v>11.77</v>
      </c>
    </row>
    <row r="204" spans="1:9" s="6" customFormat="1" ht="30.75" customHeight="1" thickBot="1">
      <c r="A204" s="33" t="s">
        <v>1753</v>
      </c>
      <c r="B204" s="34" t="s">
        <v>541</v>
      </c>
      <c r="C204" s="34" t="s">
        <v>95</v>
      </c>
      <c r="D204" s="35">
        <v>4.5</v>
      </c>
      <c r="E204" s="599">
        <v>0.36</v>
      </c>
      <c r="F204" s="36">
        <f>COMPOSIÇÕES!E204*COMPOSIÇÕES!D204</f>
        <v>1.6199999999999999</v>
      </c>
      <c r="I204" s="36">
        <v>0.47</v>
      </c>
    </row>
    <row r="205" spans="1:9" ht="16.5" thickBot="1">
      <c r="A205" s="662" t="s">
        <v>542</v>
      </c>
      <c r="B205" s="30"/>
      <c r="C205" s="30"/>
      <c r="D205" s="30"/>
      <c r="E205" s="547"/>
      <c r="F205" s="37">
        <f>SUM(COMPOSIÇÕES!F200:F204)</f>
        <v>30.312200000000004</v>
      </c>
      <c r="I205" s="31"/>
    </row>
    <row r="206" spans="1:9" s="6" customFormat="1" ht="15" customHeight="1" thickBot="1">
      <c r="A206" s="666" t="s">
        <v>543</v>
      </c>
      <c r="B206" s="513"/>
      <c r="C206" s="513"/>
      <c r="D206" s="513"/>
      <c r="E206" s="542"/>
      <c r="F206" s="667"/>
      <c r="I206" s="513"/>
    </row>
    <row r="207" spans="1:9" s="6" customFormat="1" ht="20.25" customHeight="1" thickBot="1">
      <c r="A207" s="652"/>
      <c r="B207" s="1"/>
      <c r="C207" s="1"/>
      <c r="D207" s="5"/>
      <c r="E207" s="556"/>
      <c r="F207" s="654"/>
      <c r="I207" s="5"/>
    </row>
    <row r="208" spans="1:9" s="6" customFormat="1" ht="15" customHeight="1" thickBot="1">
      <c r="A208" s="662" t="s">
        <v>544</v>
      </c>
      <c r="B208" s="30"/>
      <c r="C208" s="30"/>
      <c r="D208" s="30"/>
      <c r="E208" s="539"/>
      <c r="F208" s="663"/>
      <c r="I208" s="30"/>
    </row>
    <row r="209" spans="1:256" ht="33.75" customHeight="1" thickBot="1">
      <c r="A209" s="717" t="s">
        <v>545</v>
      </c>
      <c r="B209" s="718"/>
      <c r="C209" s="718"/>
      <c r="D209" s="718"/>
      <c r="E209" s="718"/>
      <c r="F209" s="719"/>
      <c r="G209" s="6"/>
      <c r="H209"/>
      <c r="I209" s="525"/>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9" s="6" customFormat="1" ht="13.5" thickBot="1">
      <c r="A210" s="173" t="s">
        <v>412</v>
      </c>
      <c r="B210" s="174" t="s">
        <v>413</v>
      </c>
      <c r="C210" s="174" t="s">
        <v>414</v>
      </c>
      <c r="D210" s="175" t="s">
        <v>415</v>
      </c>
      <c r="E210" s="555" t="s">
        <v>416</v>
      </c>
      <c r="F210" s="175" t="s">
        <v>417</v>
      </c>
      <c r="I210" s="175" t="s">
        <v>416</v>
      </c>
    </row>
    <row r="211" spans="1:9" s="6" customFormat="1" ht="13.5" thickBot="1">
      <c r="A211" s="674" t="s">
        <v>546</v>
      </c>
      <c r="B211" s="526"/>
      <c r="C211" s="526"/>
      <c r="D211" s="526"/>
      <c r="E211" s="557"/>
      <c r="F211" s="675" t="s">
        <v>26</v>
      </c>
      <c r="I211" s="526"/>
    </row>
    <row r="212" spans="1:9" s="6" customFormat="1" ht="115.5" thickBot="1">
      <c r="A212" s="33" t="s">
        <v>547</v>
      </c>
      <c r="B212" s="34" t="s">
        <v>548</v>
      </c>
      <c r="C212" s="34" t="s">
        <v>26</v>
      </c>
      <c r="D212" s="35">
        <f>0.4*0.35*10</f>
        <v>1.4</v>
      </c>
      <c r="E212" s="599">
        <v>42.36</v>
      </c>
      <c r="F212" s="36">
        <f>COMPOSIÇÕES!E212*COMPOSIÇÕES!D212</f>
        <v>59.303999999999995</v>
      </c>
      <c r="I212" s="36">
        <v>40.85</v>
      </c>
    </row>
    <row r="213" spans="1:9" s="6" customFormat="1" ht="90" thickBot="1">
      <c r="A213" s="33" t="s">
        <v>549</v>
      </c>
      <c r="B213" s="34" t="s">
        <v>550</v>
      </c>
      <c r="C213" s="34" t="s">
        <v>26</v>
      </c>
      <c r="D213" s="35">
        <f>COMPOSIÇÕES!D212*2</f>
        <v>2.8</v>
      </c>
      <c r="E213" s="599">
        <v>3.89</v>
      </c>
      <c r="F213" s="36">
        <f>COMPOSIÇÕES!E213*COMPOSIÇÕES!D213</f>
        <v>10.892</v>
      </c>
      <c r="I213" s="36">
        <v>3.75</v>
      </c>
    </row>
    <row r="214" spans="1:9" s="6" customFormat="1" ht="102.75" thickBot="1">
      <c r="A214" s="33" t="s">
        <v>551</v>
      </c>
      <c r="B214" s="34" t="s">
        <v>552</v>
      </c>
      <c r="C214" s="34" t="s">
        <v>52</v>
      </c>
      <c r="D214" s="35">
        <f>COMPOSIÇÕES!D213*0.02</f>
        <v>0.055999999999999994</v>
      </c>
      <c r="E214" s="599">
        <v>268.81</v>
      </c>
      <c r="F214" s="36">
        <f>COMPOSIÇÕES!E214*COMPOSIÇÕES!D214</f>
        <v>15.053359999999998</v>
      </c>
      <c r="I214" s="36">
        <v>267.31</v>
      </c>
    </row>
    <row r="215" spans="1:9" s="6" customFormat="1" ht="64.5" thickBot="1">
      <c r="A215" s="33" t="s">
        <v>553</v>
      </c>
      <c r="B215" s="34" t="s">
        <v>554</v>
      </c>
      <c r="C215" s="34" t="s">
        <v>52</v>
      </c>
      <c r="D215" s="35">
        <f>15*0.45*0.06</f>
        <v>0.40499999999999997</v>
      </c>
      <c r="E215" s="599">
        <v>281.3</v>
      </c>
      <c r="F215" s="36">
        <f>COMPOSIÇÕES!E215*COMPOSIÇÕES!D215</f>
        <v>113.92649999999999</v>
      </c>
      <c r="I215" s="36">
        <v>291.18</v>
      </c>
    </row>
    <row r="216" spans="1:9" s="6" customFormat="1" ht="51.75" thickBot="1">
      <c r="A216" s="33" t="s">
        <v>555</v>
      </c>
      <c r="B216" s="34" t="s">
        <v>556</v>
      </c>
      <c r="C216" s="34" t="s">
        <v>26</v>
      </c>
      <c r="D216" s="35">
        <f>15*0.45*2</f>
        <v>13.5</v>
      </c>
      <c r="E216" s="599">
        <v>11.07</v>
      </c>
      <c r="F216" s="36">
        <f>COMPOSIÇÕES!E216*COMPOSIÇÕES!D216</f>
        <v>149.445</v>
      </c>
      <c r="I216" s="36">
        <v>8.58</v>
      </c>
    </row>
    <row r="217" spans="1:9" s="6" customFormat="1" ht="90" thickBot="1">
      <c r="A217" s="33" t="s">
        <v>557</v>
      </c>
      <c r="B217" s="34" t="s">
        <v>558</v>
      </c>
      <c r="C217" s="34" t="s">
        <v>26</v>
      </c>
      <c r="D217" s="35">
        <f>COMPOSIÇÕES!D216</f>
        <v>13.5</v>
      </c>
      <c r="E217" s="599">
        <v>25.18</v>
      </c>
      <c r="F217" s="36">
        <f>COMPOSIÇÕES!E217*COMPOSIÇÕES!D217</f>
        <v>339.93</v>
      </c>
      <c r="I217" s="36">
        <v>22.43</v>
      </c>
    </row>
    <row r="218" spans="1:9" s="6" customFormat="1" ht="51.75" thickBot="1">
      <c r="A218" s="33" t="s">
        <v>100</v>
      </c>
      <c r="B218" s="34" t="s">
        <v>559</v>
      </c>
      <c r="C218" s="34" t="s">
        <v>52</v>
      </c>
      <c r="D218" s="35">
        <f>COMPOSIÇÕES!D215</f>
        <v>0.40499999999999997</v>
      </c>
      <c r="E218" s="599">
        <v>123.89</v>
      </c>
      <c r="F218" s="36">
        <f>COMPOSIÇÕES!E218*COMPOSIÇÕES!D218</f>
        <v>50.17545</v>
      </c>
      <c r="I218" s="36">
        <v>122.82</v>
      </c>
    </row>
    <row r="219" spans="1:9" s="6" customFormat="1" ht="26.25" thickBot="1">
      <c r="A219" s="33" t="s">
        <v>560</v>
      </c>
      <c r="B219" s="34" t="s">
        <v>561</v>
      </c>
      <c r="C219" s="34" t="s">
        <v>562</v>
      </c>
      <c r="D219" s="35">
        <f>0.21176*15*0.45</f>
        <v>1.42938</v>
      </c>
      <c r="E219" s="599">
        <v>22.23</v>
      </c>
      <c r="F219" s="36">
        <f>COMPOSIÇÕES!E219*COMPOSIÇÕES!D219</f>
        <v>31.775117400000003</v>
      </c>
      <c r="I219" s="36">
        <v>21.51</v>
      </c>
    </row>
    <row r="220" spans="1:9" ht="16.5" thickBot="1">
      <c r="A220" s="662" t="s">
        <v>542</v>
      </c>
      <c r="B220" s="30"/>
      <c r="C220" s="30"/>
      <c r="D220" s="30"/>
      <c r="E220" s="547"/>
      <c r="F220" s="37">
        <f>SUM(COMPOSIÇÕES!F212:F219)</f>
        <v>770.5014274</v>
      </c>
      <c r="I220" s="31"/>
    </row>
    <row r="221" spans="1:9" s="6" customFormat="1" ht="15" customHeight="1" thickBot="1">
      <c r="A221" s="666" t="s">
        <v>563</v>
      </c>
      <c r="B221" s="513"/>
      <c r="C221" s="513"/>
      <c r="D221" s="513"/>
      <c r="E221" s="542"/>
      <c r="F221" s="667"/>
      <c r="I221" s="513"/>
    </row>
    <row r="222" spans="1:9" s="6" customFormat="1" ht="20.25" customHeight="1" thickBot="1">
      <c r="A222" s="652"/>
      <c r="B222" s="1"/>
      <c r="C222" s="1"/>
      <c r="D222" s="5"/>
      <c r="E222" s="556"/>
      <c r="F222" s="654"/>
      <c r="I222" s="5"/>
    </row>
    <row r="223" spans="1:9" s="6" customFormat="1" ht="15" customHeight="1" thickBot="1">
      <c r="A223" s="662" t="s">
        <v>564</v>
      </c>
      <c r="B223" s="30"/>
      <c r="C223" s="30"/>
      <c r="D223" s="30"/>
      <c r="E223" s="539"/>
      <c r="F223" s="663"/>
      <c r="I223" s="30"/>
    </row>
    <row r="224" spans="1:9" ht="16.5" customHeight="1" thickBot="1">
      <c r="A224" s="717" t="s">
        <v>565</v>
      </c>
      <c r="B224" s="718"/>
      <c r="C224" s="718"/>
      <c r="D224" s="718"/>
      <c r="E224" s="718"/>
      <c r="F224" s="719"/>
      <c r="I224" s="527"/>
    </row>
    <row r="225" spans="1:256" ht="16.5" thickBot="1">
      <c r="A225" s="277" t="s">
        <v>412</v>
      </c>
      <c r="B225" s="278" t="s">
        <v>413</v>
      </c>
      <c r="C225" s="278" t="s">
        <v>414</v>
      </c>
      <c r="D225" s="279" t="s">
        <v>415</v>
      </c>
      <c r="E225" s="558" t="s">
        <v>416</v>
      </c>
      <c r="F225" s="279" t="s">
        <v>417</v>
      </c>
      <c r="G225" s="6"/>
      <c r="H225"/>
      <c r="I225" s="279" t="s">
        <v>416</v>
      </c>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6.5" thickBot="1">
      <c r="A226" s="652"/>
      <c r="F226" s="654"/>
      <c r="G226" s="6"/>
      <c r="H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25.5">
      <c r="A227" s="389" t="s">
        <v>488</v>
      </c>
      <c r="B227" s="34" t="s">
        <v>582</v>
      </c>
      <c r="C227" s="167" t="s">
        <v>568</v>
      </c>
      <c r="D227" s="35">
        <v>0.18</v>
      </c>
      <c r="E227" s="595">
        <v>15.3</v>
      </c>
      <c r="F227" s="36">
        <f>COMPOSIÇÕES!E227*COMPOSIÇÕES!D227</f>
        <v>2.754</v>
      </c>
      <c r="G227" s="6"/>
      <c r="H227"/>
      <c r="I227" s="10">
        <v>14.83</v>
      </c>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25.5">
      <c r="A228" s="166" t="s">
        <v>431</v>
      </c>
      <c r="B228" s="166" t="s">
        <v>567</v>
      </c>
      <c r="C228" s="167" t="s">
        <v>568</v>
      </c>
      <c r="D228" s="167">
        <v>0.18</v>
      </c>
      <c r="E228" s="561">
        <v>11.98</v>
      </c>
      <c r="F228" s="167">
        <f>COMPOSIÇÕES!E228*COMPOSIÇÕES!D228</f>
        <v>2.1564</v>
      </c>
      <c r="G228" s="6"/>
      <c r="H228"/>
      <c r="I228" s="167">
        <v>11.77</v>
      </c>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38.25">
      <c r="A229" s="166" t="s">
        <v>1658</v>
      </c>
      <c r="B229" s="166" t="s">
        <v>569</v>
      </c>
      <c r="C229" s="167" t="s">
        <v>570</v>
      </c>
      <c r="D229" s="167">
        <v>0.2</v>
      </c>
      <c r="E229" s="561">
        <v>52.51</v>
      </c>
      <c r="F229" s="167">
        <f>COMPOSIÇÕES!E229*COMPOSIÇÕES!D229</f>
        <v>10.502</v>
      </c>
      <c r="G229" s="6"/>
      <c r="H229"/>
      <c r="I229" s="167">
        <v>39.1</v>
      </c>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51">
      <c r="A230" s="166" t="s">
        <v>93</v>
      </c>
      <c r="B230" s="166" t="s">
        <v>144</v>
      </c>
      <c r="C230" s="167" t="s">
        <v>571</v>
      </c>
      <c r="D230" s="167">
        <v>0.79</v>
      </c>
      <c r="E230" s="561">
        <v>6.29</v>
      </c>
      <c r="F230" s="167">
        <f>COMPOSIÇÕES!E230*COMPOSIÇÕES!D230</f>
        <v>4.9691</v>
      </c>
      <c r="G230" s="6"/>
      <c r="H230"/>
      <c r="I230" s="167">
        <v>7.75</v>
      </c>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9" s="6" customFormat="1" ht="51">
      <c r="A231" s="166" t="s">
        <v>1659</v>
      </c>
      <c r="B231" s="166" t="s">
        <v>572</v>
      </c>
      <c r="C231" s="167" t="s">
        <v>573</v>
      </c>
      <c r="D231" s="167">
        <v>0.0154</v>
      </c>
      <c r="E231" s="561">
        <v>274.21</v>
      </c>
      <c r="F231" s="167">
        <f>COMPOSIÇÕES!E231*COMPOSIÇÕES!D231</f>
        <v>4.222834</v>
      </c>
      <c r="I231" s="167">
        <v>299.75</v>
      </c>
    </row>
    <row r="232" spans="1:9" s="6" customFormat="1" ht="38.25">
      <c r="A232" s="166" t="s">
        <v>1660</v>
      </c>
      <c r="B232" s="166" t="s">
        <v>574</v>
      </c>
      <c r="C232" s="167" t="s">
        <v>562</v>
      </c>
      <c r="D232" s="167">
        <v>0.0035</v>
      </c>
      <c r="E232" s="561">
        <v>6.47</v>
      </c>
      <c r="F232" s="167">
        <f>COMPOSIÇÕES!E232*COMPOSIÇÕES!D232</f>
        <v>0.022645</v>
      </c>
      <c r="I232" s="167">
        <v>7.03</v>
      </c>
    </row>
    <row r="233" spans="1:9" ht="51">
      <c r="A233" s="166" t="s">
        <v>1755</v>
      </c>
      <c r="B233" s="166" t="s">
        <v>1754</v>
      </c>
      <c r="C233" s="167" t="s">
        <v>575</v>
      </c>
      <c r="D233" s="167">
        <v>6</v>
      </c>
      <c r="E233" s="561">
        <v>0.14</v>
      </c>
      <c r="F233" s="167">
        <f>COMPOSIÇÕES!E233*COMPOSIÇÕES!D233</f>
        <v>0.8400000000000001</v>
      </c>
      <c r="I233" s="167">
        <v>0.13</v>
      </c>
    </row>
    <row r="234" spans="1:9" s="6" customFormat="1" ht="15" customHeight="1" thickBot="1">
      <c r="A234" s="664" t="s">
        <v>542</v>
      </c>
      <c r="B234" s="516"/>
      <c r="C234" s="516"/>
      <c r="D234" s="516"/>
      <c r="E234" s="544"/>
      <c r="F234" s="18">
        <f>SUM(F227:F233)</f>
        <v>25.466979000000002</v>
      </c>
      <c r="I234" s="518"/>
    </row>
    <row r="235" spans="1:9" s="6" customFormat="1" ht="20.25" customHeight="1" thickBot="1">
      <c r="A235" s="666" t="s">
        <v>576</v>
      </c>
      <c r="B235" s="513"/>
      <c r="C235" s="513"/>
      <c r="D235" s="513"/>
      <c r="E235" s="542"/>
      <c r="F235" s="667"/>
      <c r="I235" s="513"/>
    </row>
    <row r="236" spans="1:9" s="6" customFormat="1" ht="15" customHeight="1" thickBot="1">
      <c r="A236" s="676"/>
      <c r="B236" s="1"/>
      <c r="C236" s="5"/>
      <c r="D236" s="5"/>
      <c r="E236" s="677"/>
      <c r="F236" s="654"/>
      <c r="I236"/>
    </row>
    <row r="237" spans="1:9" s="391" customFormat="1" ht="15.75" thickBot="1">
      <c r="A237" s="678" t="s">
        <v>577</v>
      </c>
      <c r="B237" s="528"/>
      <c r="C237" s="528"/>
      <c r="D237" s="528"/>
      <c r="E237" s="559"/>
      <c r="F237" s="679"/>
      <c r="G237" s="390"/>
      <c r="I237" s="528"/>
    </row>
    <row r="238" spans="1:9" s="391" customFormat="1" ht="16.5" customHeight="1" thickBot="1">
      <c r="A238" s="717" t="s">
        <v>344</v>
      </c>
      <c r="B238" s="718"/>
      <c r="C238" s="718"/>
      <c r="D238" s="718"/>
      <c r="E238" s="718"/>
      <c r="F238" s="719"/>
      <c r="G238" s="390"/>
      <c r="I238" s="525"/>
    </row>
    <row r="239" spans="1:9" s="391" customFormat="1" ht="15">
      <c r="A239" s="393" t="s">
        <v>412</v>
      </c>
      <c r="B239" s="394" t="s">
        <v>413</v>
      </c>
      <c r="C239" s="394" t="s">
        <v>414</v>
      </c>
      <c r="D239" s="395" t="s">
        <v>415</v>
      </c>
      <c r="E239" s="560" t="s">
        <v>416</v>
      </c>
      <c r="F239" s="395" t="s">
        <v>417</v>
      </c>
      <c r="G239" s="390"/>
      <c r="I239" s="395" t="s">
        <v>416</v>
      </c>
    </row>
    <row r="240" spans="1:9" s="391" customFormat="1" ht="25.5">
      <c r="A240" s="407" t="s">
        <v>466</v>
      </c>
      <c r="B240" s="396" t="s">
        <v>1762</v>
      </c>
      <c r="C240" s="397" t="s">
        <v>133</v>
      </c>
      <c r="D240" s="397">
        <v>1</v>
      </c>
      <c r="E240" s="561">
        <f>AVERAGE(68,66.96)*(1+F468)</f>
        <v>68.19052078814889</v>
      </c>
      <c r="F240" s="561">
        <f>E240*D240</f>
        <v>68.19052078814889</v>
      </c>
      <c r="G240" s="390"/>
      <c r="I240" s="397">
        <f>AVERAGE(68,66.96)</f>
        <v>67.47999999999999</v>
      </c>
    </row>
    <row r="241" spans="1:9" s="391" customFormat="1" ht="25.5">
      <c r="A241" s="468" t="s">
        <v>488</v>
      </c>
      <c r="B241" s="166" t="s">
        <v>582</v>
      </c>
      <c r="C241" s="397" t="s">
        <v>568</v>
      </c>
      <c r="D241" s="167">
        <v>0.2</v>
      </c>
      <c r="E241" s="561">
        <v>15.3</v>
      </c>
      <c r="F241" s="397">
        <f>E241*D241</f>
        <v>3.0600000000000005</v>
      </c>
      <c r="G241" s="390"/>
      <c r="I241" s="167">
        <v>14.83</v>
      </c>
    </row>
    <row r="242" spans="1:256" s="391" customFormat="1" ht="25.5">
      <c r="A242" s="396" t="s">
        <v>431</v>
      </c>
      <c r="B242" s="396" t="s">
        <v>567</v>
      </c>
      <c r="C242" s="397" t="s">
        <v>568</v>
      </c>
      <c r="D242" s="397">
        <v>0.2</v>
      </c>
      <c r="E242" s="561">
        <v>11.98</v>
      </c>
      <c r="F242" s="397">
        <f>COMPOSIÇÕES!E242*COMPOSIÇÕES!D242</f>
        <v>2.3960000000000004</v>
      </c>
      <c r="G242" s="392"/>
      <c r="H242" s="392"/>
      <c r="I242" s="397">
        <v>11.77</v>
      </c>
      <c r="J242" s="392"/>
      <c r="K242" s="392"/>
      <c r="L242" s="392"/>
      <c r="M242" s="392"/>
      <c r="N242" s="392"/>
      <c r="O242" s="392"/>
      <c r="P242" s="392"/>
      <c r="Q242" s="392"/>
      <c r="R242" s="392"/>
      <c r="S242" s="392"/>
      <c r="T242" s="392"/>
      <c r="U242" s="392"/>
      <c r="V242" s="392"/>
      <c r="W242" s="392"/>
      <c r="X242" s="392"/>
      <c r="Y242" s="392"/>
      <c r="Z242" s="392"/>
      <c r="AA242" s="392"/>
      <c r="AB242" s="392"/>
      <c r="AC242" s="392"/>
      <c r="AD242" s="392"/>
      <c r="AE242" s="392"/>
      <c r="AF242" s="392"/>
      <c r="AG242" s="392"/>
      <c r="AH242" s="392"/>
      <c r="AI242" s="392"/>
      <c r="AJ242" s="392"/>
      <c r="AK242" s="392"/>
      <c r="AL242" s="392"/>
      <c r="AM242" s="392"/>
      <c r="AN242" s="392"/>
      <c r="AO242" s="392"/>
      <c r="AP242" s="392"/>
      <c r="AQ242" s="392"/>
      <c r="AR242" s="392"/>
      <c r="AS242" s="392"/>
      <c r="AT242" s="392"/>
      <c r="AU242" s="392"/>
      <c r="AV242" s="392"/>
      <c r="AW242" s="392"/>
      <c r="AX242" s="392"/>
      <c r="AY242" s="392"/>
      <c r="AZ242" s="392"/>
      <c r="BA242" s="392"/>
      <c r="BB242" s="392"/>
      <c r="BC242" s="392"/>
      <c r="BD242" s="392"/>
      <c r="BE242" s="392"/>
      <c r="BF242" s="392"/>
      <c r="BG242" s="392"/>
      <c r="BH242" s="392"/>
      <c r="BI242" s="392"/>
      <c r="BJ242" s="392"/>
      <c r="BK242" s="392"/>
      <c r="BL242" s="392"/>
      <c r="BM242" s="392"/>
      <c r="BN242" s="392"/>
      <c r="BO242" s="392"/>
      <c r="BP242" s="392"/>
      <c r="BQ242" s="392"/>
      <c r="BR242" s="392"/>
      <c r="BS242" s="392"/>
      <c r="BT242" s="392"/>
      <c r="BU242" s="392"/>
      <c r="BV242" s="392"/>
      <c r="BW242" s="392"/>
      <c r="BX242" s="392"/>
      <c r="BY242" s="392"/>
      <c r="BZ242" s="392"/>
      <c r="CA242" s="392"/>
      <c r="CB242" s="392"/>
      <c r="CC242" s="392"/>
      <c r="CD242" s="392"/>
      <c r="CE242" s="392"/>
      <c r="CF242" s="392"/>
      <c r="CG242" s="392"/>
      <c r="CH242" s="392"/>
      <c r="CI242" s="392"/>
      <c r="CJ242" s="392"/>
      <c r="CK242" s="392"/>
      <c r="CL242" s="392"/>
      <c r="CM242" s="392"/>
      <c r="CN242" s="392"/>
      <c r="CO242" s="392"/>
      <c r="CP242" s="392"/>
      <c r="CQ242" s="392"/>
      <c r="CR242" s="392"/>
      <c r="CS242" s="392"/>
      <c r="CT242" s="392"/>
      <c r="CU242" s="392"/>
      <c r="CV242" s="392"/>
      <c r="CW242" s="392"/>
      <c r="CX242" s="392"/>
      <c r="CY242" s="392"/>
      <c r="CZ242" s="392"/>
      <c r="DA242" s="392"/>
      <c r="DB242" s="392"/>
      <c r="DC242" s="392"/>
      <c r="DD242" s="392"/>
      <c r="DE242" s="392"/>
      <c r="DF242" s="392"/>
      <c r="DG242" s="392"/>
      <c r="DH242" s="392"/>
      <c r="DI242" s="392"/>
      <c r="DJ242" s="392"/>
      <c r="DK242" s="392"/>
      <c r="DL242" s="392"/>
      <c r="DM242" s="392"/>
      <c r="DN242" s="392"/>
      <c r="DO242" s="392"/>
      <c r="DP242" s="392"/>
      <c r="DQ242" s="392"/>
      <c r="DR242" s="392"/>
      <c r="DS242" s="392"/>
      <c r="DT242" s="392"/>
      <c r="DU242" s="392"/>
      <c r="DV242" s="392"/>
      <c r="DW242" s="392"/>
      <c r="DX242" s="392"/>
      <c r="DY242" s="392"/>
      <c r="DZ242" s="392"/>
      <c r="EA242" s="392"/>
      <c r="EB242" s="392"/>
      <c r="EC242" s="392"/>
      <c r="ED242" s="392"/>
      <c r="EE242" s="392"/>
      <c r="EF242" s="392"/>
      <c r="EG242" s="392"/>
      <c r="EH242" s="392"/>
      <c r="EI242" s="392"/>
      <c r="EJ242" s="392"/>
      <c r="EK242" s="392"/>
      <c r="EL242" s="392"/>
      <c r="EM242" s="392"/>
      <c r="EN242" s="392"/>
      <c r="EO242" s="392"/>
      <c r="EP242" s="392"/>
      <c r="EQ242" s="392"/>
      <c r="ER242" s="392"/>
      <c r="ES242" s="392"/>
      <c r="ET242" s="392"/>
      <c r="EU242" s="392"/>
      <c r="EV242" s="392"/>
      <c r="EW242" s="392"/>
      <c r="EX242" s="392"/>
      <c r="EY242" s="392"/>
      <c r="EZ242" s="392"/>
      <c r="FA242" s="392"/>
      <c r="FB242" s="392"/>
      <c r="FC242" s="392"/>
      <c r="FD242" s="392"/>
      <c r="FE242" s="392"/>
      <c r="FF242" s="392"/>
      <c r="FG242" s="392"/>
      <c r="FH242" s="392"/>
      <c r="FI242" s="392"/>
      <c r="FJ242" s="392"/>
      <c r="FK242" s="392"/>
      <c r="FL242" s="392"/>
      <c r="FM242" s="392"/>
      <c r="FN242" s="392"/>
      <c r="FO242" s="392"/>
      <c r="FP242" s="392"/>
      <c r="FQ242" s="392"/>
      <c r="FR242" s="392"/>
      <c r="FS242" s="392"/>
      <c r="FT242" s="392"/>
      <c r="FU242" s="392"/>
      <c r="FV242" s="392"/>
      <c r="FW242" s="392"/>
      <c r="FX242" s="392"/>
      <c r="FY242" s="392"/>
      <c r="FZ242" s="392"/>
      <c r="GA242" s="392"/>
      <c r="GB242" s="392"/>
      <c r="GC242" s="392"/>
      <c r="GD242" s="392"/>
      <c r="GE242" s="392"/>
      <c r="GF242" s="392"/>
      <c r="GG242" s="392"/>
      <c r="GH242" s="392"/>
      <c r="GI242" s="392"/>
      <c r="GJ242" s="392"/>
      <c r="GK242" s="392"/>
      <c r="GL242" s="392"/>
      <c r="GM242" s="392"/>
      <c r="GN242" s="392"/>
      <c r="GO242" s="392"/>
      <c r="GP242" s="392"/>
      <c r="GQ242" s="392"/>
      <c r="GR242" s="392"/>
      <c r="GS242" s="392"/>
      <c r="GT242" s="392"/>
      <c r="GU242" s="392"/>
      <c r="GV242" s="392"/>
      <c r="GW242" s="392"/>
      <c r="GX242" s="392"/>
      <c r="GY242" s="392"/>
      <c r="GZ242" s="392"/>
      <c r="HA242" s="392"/>
      <c r="HB242" s="392"/>
      <c r="HC242" s="392"/>
      <c r="HD242" s="392"/>
      <c r="HE242" s="392"/>
      <c r="HF242" s="392"/>
      <c r="HG242" s="392"/>
      <c r="HH242" s="392"/>
      <c r="HI242" s="392"/>
      <c r="HJ242" s="392"/>
      <c r="HK242" s="392"/>
      <c r="HL242" s="392"/>
      <c r="HM242" s="392"/>
      <c r="HN242" s="392"/>
      <c r="HO242" s="392"/>
      <c r="HP242" s="392"/>
      <c r="HQ242" s="392"/>
      <c r="HR242" s="392"/>
      <c r="HS242" s="392"/>
      <c r="HT242" s="392"/>
      <c r="HU242" s="392"/>
      <c r="HV242" s="392"/>
      <c r="HW242" s="392"/>
      <c r="HX242" s="392"/>
      <c r="HY242" s="392"/>
      <c r="HZ242" s="392"/>
      <c r="IA242" s="392"/>
      <c r="IB242" s="392"/>
      <c r="IC242" s="392"/>
      <c r="ID242" s="392"/>
      <c r="IE242" s="392"/>
      <c r="IF242" s="392"/>
      <c r="IG242" s="392"/>
      <c r="IH242" s="392"/>
      <c r="II242" s="392"/>
      <c r="IJ242" s="392"/>
      <c r="IK242" s="392"/>
      <c r="IL242" s="392"/>
      <c r="IM242" s="392"/>
      <c r="IN242" s="392"/>
      <c r="IO242" s="392"/>
      <c r="IP242" s="392"/>
      <c r="IQ242" s="392"/>
      <c r="IR242" s="392"/>
      <c r="IS242" s="392"/>
      <c r="IT242" s="392"/>
      <c r="IU242" s="392"/>
      <c r="IV242" s="392"/>
    </row>
    <row r="243" spans="1:9" s="390" customFormat="1" ht="15" customHeight="1" thickBot="1">
      <c r="A243" s="680" t="s">
        <v>542</v>
      </c>
      <c r="B243" s="529"/>
      <c r="C243" s="529"/>
      <c r="D243" s="529"/>
      <c r="E243" s="562"/>
      <c r="F243" s="398">
        <f>SUM(COMPOSIÇÕES!F240:F242)</f>
        <v>73.64652078814889</v>
      </c>
      <c r="I243" s="530"/>
    </row>
    <row r="244" spans="1:9" s="390" customFormat="1" ht="15" customHeight="1" thickBot="1">
      <c r="A244" s="681"/>
      <c r="B244" s="531"/>
      <c r="C244" s="531"/>
      <c r="D244" s="531"/>
      <c r="E244" s="563"/>
      <c r="F244" s="682"/>
      <c r="I244" s="531"/>
    </row>
    <row r="245" spans="1:9" s="391" customFormat="1" ht="15.75" thickBot="1">
      <c r="A245" s="683" t="s">
        <v>578</v>
      </c>
      <c r="B245" s="528"/>
      <c r="C245" s="528"/>
      <c r="D245" s="528"/>
      <c r="E245" s="559"/>
      <c r="F245" s="679"/>
      <c r="G245" s="390"/>
      <c r="I245" s="528"/>
    </row>
    <row r="246" spans="1:9" s="391" customFormat="1" ht="31.5" customHeight="1" thickBot="1">
      <c r="A246" s="717" t="s">
        <v>142</v>
      </c>
      <c r="B246" s="718"/>
      <c r="C246" s="718"/>
      <c r="D246" s="718"/>
      <c r="E246" s="718"/>
      <c r="F246" s="719"/>
      <c r="G246" s="390"/>
      <c r="I246" s="525"/>
    </row>
    <row r="247" spans="1:9" s="390" customFormat="1" ht="12.75">
      <c r="A247" s="393" t="s">
        <v>412</v>
      </c>
      <c r="B247" s="394" t="s">
        <v>413</v>
      </c>
      <c r="C247" s="394" t="s">
        <v>414</v>
      </c>
      <c r="D247" s="395" t="s">
        <v>415</v>
      </c>
      <c r="E247" s="560" t="s">
        <v>416</v>
      </c>
      <c r="F247" s="395" t="s">
        <v>417</v>
      </c>
      <c r="I247" s="395" t="s">
        <v>416</v>
      </c>
    </row>
    <row r="248" spans="1:9" s="390" customFormat="1" ht="38.25">
      <c r="A248" s="396" t="s">
        <v>579</v>
      </c>
      <c r="B248" s="396" t="s">
        <v>580</v>
      </c>
      <c r="C248" s="397" t="s">
        <v>95</v>
      </c>
      <c r="D248" s="397">
        <v>1.5</v>
      </c>
      <c r="E248" s="561">
        <v>47.01</v>
      </c>
      <c r="F248" s="397">
        <f>COMPOSIÇÕES!E248*COMPOSIÇÕES!D248</f>
        <v>70.515</v>
      </c>
      <c r="I248" s="397">
        <v>47.99</v>
      </c>
    </row>
    <row r="249" spans="1:256" s="391" customFormat="1" ht="25.5">
      <c r="A249" s="396" t="s">
        <v>488</v>
      </c>
      <c r="B249" s="396" t="s">
        <v>582</v>
      </c>
      <c r="C249" s="397" t="s">
        <v>568</v>
      </c>
      <c r="D249" s="397">
        <v>0.25</v>
      </c>
      <c r="E249" s="561">
        <v>15.3</v>
      </c>
      <c r="F249" s="397">
        <f>COMPOSIÇÕES!E249*COMPOSIÇÕES!D249</f>
        <v>3.825</v>
      </c>
      <c r="G249" s="392"/>
      <c r="H249" s="392"/>
      <c r="I249" s="397">
        <v>14.83</v>
      </c>
      <c r="J249" s="392"/>
      <c r="K249" s="392"/>
      <c r="L249" s="392"/>
      <c r="M249" s="392"/>
      <c r="N249" s="392"/>
      <c r="O249" s="392"/>
      <c r="P249" s="392"/>
      <c r="Q249" s="392"/>
      <c r="R249" s="392"/>
      <c r="S249" s="392"/>
      <c r="T249" s="392"/>
      <c r="U249" s="392"/>
      <c r="V249" s="392"/>
      <c r="W249" s="392"/>
      <c r="X249" s="392"/>
      <c r="Y249" s="392"/>
      <c r="Z249" s="392"/>
      <c r="AA249" s="392"/>
      <c r="AB249" s="392"/>
      <c r="AC249" s="392"/>
      <c r="AD249" s="392"/>
      <c r="AE249" s="392"/>
      <c r="AF249" s="392"/>
      <c r="AG249" s="392"/>
      <c r="AH249" s="392"/>
      <c r="AI249" s="392"/>
      <c r="AJ249" s="392"/>
      <c r="AK249" s="392"/>
      <c r="AL249" s="392"/>
      <c r="AM249" s="392"/>
      <c r="AN249" s="392"/>
      <c r="AO249" s="392"/>
      <c r="AP249" s="392"/>
      <c r="AQ249" s="392"/>
      <c r="AR249" s="392"/>
      <c r="AS249" s="392"/>
      <c r="AT249" s="392"/>
      <c r="AU249" s="392"/>
      <c r="AV249" s="392"/>
      <c r="AW249" s="392"/>
      <c r="AX249" s="392"/>
      <c r="AY249" s="392"/>
      <c r="AZ249" s="392"/>
      <c r="BA249" s="392"/>
      <c r="BB249" s="392"/>
      <c r="BC249" s="392"/>
      <c r="BD249" s="392"/>
      <c r="BE249" s="392"/>
      <c r="BF249" s="392"/>
      <c r="BG249" s="392"/>
      <c r="BH249" s="392"/>
      <c r="BI249" s="392"/>
      <c r="BJ249" s="392"/>
      <c r="BK249" s="392"/>
      <c r="BL249" s="392"/>
      <c r="BM249" s="392"/>
      <c r="BN249" s="392"/>
      <c r="BO249" s="392"/>
      <c r="BP249" s="392"/>
      <c r="BQ249" s="392"/>
      <c r="BR249" s="392"/>
      <c r="BS249" s="392"/>
      <c r="BT249" s="392"/>
      <c r="BU249" s="392"/>
      <c r="BV249" s="392"/>
      <c r="BW249" s="392"/>
      <c r="BX249" s="392"/>
      <c r="BY249" s="392"/>
      <c r="BZ249" s="392"/>
      <c r="CA249" s="392"/>
      <c r="CB249" s="392"/>
      <c r="CC249" s="392"/>
      <c r="CD249" s="392"/>
      <c r="CE249" s="392"/>
      <c r="CF249" s="392"/>
      <c r="CG249" s="392"/>
      <c r="CH249" s="392"/>
      <c r="CI249" s="392"/>
      <c r="CJ249" s="392"/>
      <c r="CK249" s="392"/>
      <c r="CL249" s="392"/>
      <c r="CM249" s="392"/>
      <c r="CN249" s="392"/>
      <c r="CO249" s="392"/>
      <c r="CP249" s="392"/>
      <c r="CQ249" s="392"/>
      <c r="CR249" s="392"/>
      <c r="CS249" s="392"/>
      <c r="CT249" s="392"/>
      <c r="CU249" s="392"/>
      <c r="CV249" s="392"/>
      <c r="CW249" s="392"/>
      <c r="CX249" s="392"/>
      <c r="CY249" s="392"/>
      <c r="CZ249" s="392"/>
      <c r="DA249" s="392"/>
      <c r="DB249" s="392"/>
      <c r="DC249" s="392"/>
      <c r="DD249" s="392"/>
      <c r="DE249" s="392"/>
      <c r="DF249" s="392"/>
      <c r="DG249" s="392"/>
      <c r="DH249" s="392"/>
      <c r="DI249" s="392"/>
      <c r="DJ249" s="392"/>
      <c r="DK249" s="392"/>
      <c r="DL249" s="392"/>
      <c r="DM249" s="392"/>
      <c r="DN249" s="392"/>
      <c r="DO249" s="392"/>
      <c r="DP249" s="392"/>
      <c r="DQ249" s="392"/>
      <c r="DR249" s="392"/>
      <c r="DS249" s="392"/>
      <c r="DT249" s="392"/>
      <c r="DU249" s="392"/>
      <c r="DV249" s="392"/>
      <c r="DW249" s="392"/>
      <c r="DX249" s="392"/>
      <c r="DY249" s="392"/>
      <c r="DZ249" s="392"/>
      <c r="EA249" s="392"/>
      <c r="EB249" s="392"/>
      <c r="EC249" s="392"/>
      <c r="ED249" s="392"/>
      <c r="EE249" s="392"/>
      <c r="EF249" s="392"/>
      <c r="EG249" s="392"/>
      <c r="EH249" s="392"/>
      <c r="EI249" s="392"/>
      <c r="EJ249" s="392"/>
      <c r="EK249" s="392"/>
      <c r="EL249" s="392"/>
      <c r="EM249" s="392"/>
      <c r="EN249" s="392"/>
      <c r="EO249" s="392"/>
      <c r="EP249" s="392"/>
      <c r="EQ249" s="392"/>
      <c r="ER249" s="392"/>
      <c r="ES249" s="392"/>
      <c r="ET249" s="392"/>
      <c r="EU249" s="392"/>
      <c r="EV249" s="392"/>
      <c r="EW249" s="392"/>
      <c r="EX249" s="392"/>
      <c r="EY249" s="392"/>
      <c r="EZ249" s="392"/>
      <c r="FA249" s="392"/>
      <c r="FB249" s="392"/>
      <c r="FC249" s="392"/>
      <c r="FD249" s="392"/>
      <c r="FE249" s="392"/>
      <c r="FF249" s="392"/>
      <c r="FG249" s="392"/>
      <c r="FH249" s="392"/>
      <c r="FI249" s="392"/>
      <c r="FJ249" s="392"/>
      <c r="FK249" s="392"/>
      <c r="FL249" s="392"/>
      <c r="FM249" s="392"/>
      <c r="FN249" s="392"/>
      <c r="FO249" s="392"/>
      <c r="FP249" s="392"/>
      <c r="FQ249" s="392"/>
      <c r="FR249" s="392"/>
      <c r="FS249" s="392"/>
      <c r="FT249" s="392"/>
      <c r="FU249" s="392"/>
      <c r="FV249" s="392"/>
      <c r="FW249" s="392"/>
      <c r="FX249" s="392"/>
      <c r="FY249" s="392"/>
      <c r="FZ249" s="392"/>
      <c r="GA249" s="392"/>
      <c r="GB249" s="392"/>
      <c r="GC249" s="392"/>
      <c r="GD249" s="392"/>
      <c r="GE249" s="392"/>
      <c r="GF249" s="392"/>
      <c r="GG249" s="392"/>
      <c r="GH249" s="392"/>
      <c r="GI249" s="392"/>
      <c r="GJ249" s="392"/>
      <c r="GK249" s="392"/>
      <c r="GL249" s="392"/>
      <c r="GM249" s="392"/>
      <c r="GN249" s="392"/>
      <c r="GO249" s="392"/>
      <c r="GP249" s="392"/>
      <c r="GQ249" s="392"/>
      <c r="GR249" s="392"/>
      <c r="GS249" s="392"/>
      <c r="GT249" s="392"/>
      <c r="GU249" s="392"/>
      <c r="GV249" s="392"/>
      <c r="GW249" s="392"/>
      <c r="GX249" s="392"/>
      <c r="GY249" s="392"/>
      <c r="GZ249" s="392"/>
      <c r="HA249" s="392"/>
      <c r="HB249" s="392"/>
      <c r="HC249" s="392"/>
      <c r="HD249" s="392"/>
      <c r="HE249" s="392"/>
      <c r="HF249" s="392"/>
      <c r="HG249" s="392"/>
      <c r="HH249" s="392"/>
      <c r="HI249" s="392"/>
      <c r="HJ249" s="392"/>
      <c r="HK249" s="392"/>
      <c r="HL249" s="392"/>
      <c r="HM249" s="392"/>
      <c r="HN249" s="392"/>
      <c r="HO249" s="392"/>
      <c r="HP249" s="392"/>
      <c r="HQ249" s="392"/>
      <c r="HR249" s="392"/>
      <c r="HS249" s="392"/>
      <c r="HT249" s="392"/>
      <c r="HU249" s="392"/>
      <c r="HV249" s="392"/>
      <c r="HW249" s="392"/>
      <c r="HX249" s="392"/>
      <c r="HY249" s="392"/>
      <c r="HZ249" s="392"/>
      <c r="IA249" s="392"/>
      <c r="IB249" s="392"/>
      <c r="IC249" s="392"/>
      <c r="ID249" s="392"/>
      <c r="IE249" s="392"/>
      <c r="IF249" s="392"/>
      <c r="IG249" s="392"/>
      <c r="IH249" s="392"/>
      <c r="II249" s="392"/>
      <c r="IJ249" s="392"/>
      <c r="IK249" s="392"/>
      <c r="IL249" s="392"/>
      <c r="IM249" s="392"/>
      <c r="IN249" s="392"/>
      <c r="IO249" s="392"/>
      <c r="IP249" s="392"/>
      <c r="IQ249" s="392"/>
      <c r="IR249" s="392"/>
      <c r="IS249" s="392"/>
      <c r="IT249" s="392"/>
      <c r="IU249" s="392"/>
      <c r="IV249" s="392"/>
    </row>
    <row r="250" spans="1:9" s="390" customFormat="1" ht="15" customHeight="1" thickBot="1">
      <c r="A250" s="680" t="s">
        <v>542</v>
      </c>
      <c r="B250" s="529"/>
      <c r="C250" s="529"/>
      <c r="D250" s="529"/>
      <c r="E250" s="562"/>
      <c r="F250" s="398">
        <f>SUM(COMPOSIÇÕES!F248:F249)</f>
        <v>74.34</v>
      </c>
      <c r="I250" s="530"/>
    </row>
    <row r="251" spans="1:9" s="6" customFormat="1" ht="15" customHeight="1" thickBot="1">
      <c r="A251" s="666"/>
      <c r="B251" s="513"/>
      <c r="C251" s="513"/>
      <c r="D251" s="513"/>
      <c r="E251" s="542"/>
      <c r="F251" s="667"/>
      <c r="I251" s="513"/>
    </row>
    <row r="252" spans="1:256" ht="30" customHeight="1" thickBot="1">
      <c r="A252" s="662" t="s">
        <v>583</v>
      </c>
      <c r="B252" s="30"/>
      <c r="C252" s="30"/>
      <c r="D252" s="30"/>
      <c r="E252" s="539"/>
      <c r="F252" s="663"/>
      <c r="G252" s="6"/>
      <c r="H252"/>
      <c r="I252" s="30"/>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6.5" customHeight="1" thickBot="1">
      <c r="A253" s="717" t="s">
        <v>398</v>
      </c>
      <c r="B253" s="718"/>
      <c r="C253" s="718"/>
      <c r="D253" s="718"/>
      <c r="E253" s="718"/>
      <c r="F253" s="719"/>
      <c r="G253" s="6"/>
      <c r="H253"/>
      <c r="I253" s="525"/>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9" ht="15.75">
      <c r="A254" s="176" t="s">
        <v>412</v>
      </c>
      <c r="B254" s="177" t="s">
        <v>413</v>
      </c>
      <c r="C254" s="177" t="s">
        <v>414</v>
      </c>
      <c r="D254" s="178" t="s">
        <v>415</v>
      </c>
      <c r="E254" s="564" t="s">
        <v>416</v>
      </c>
      <c r="F254" s="178" t="s">
        <v>417</v>
      </c>
      <c r="I254" s="178" t="s">
        <v>416</v>
      </c>
    </row>
    <row r="255" spans="1:9" s="6" customFormat="1" ht="51">
      <c r="A255" s="166" t="s">
        <v>584</v>
      </c>
      <c r="B255" s="166" t="s">
        <v>585</v>
      </c>
      <c r="C255" s="167" t="s">
        <v>26</v>
      </c>
      <c r="D255" s="167">
        <v>1.15</v>
      </c>
      <c r="E255" s="561">
        <v>19.91</v>
      </c>
      <c r="F255" s="167">
        <f>COMPOSIÇÕES!E255*COMPOSIÇÕES!D255</f>
        <v>22.8965</v>
      </c>
      <c r="I255" s="167">
        <v>17.25</v>
      </c>
    </row>
    <row r="256" spans="1:9" ht="63.75">
      <c r="A256" s="166" t="s">
        <v>586</v>
      </c>
      <c r="B256" s="166" t="s">
        <v>587</v>
      </c>
      <c r="C256" s="167" t="s">
        <v>26</v>
      </c>
      <c r="D256" s="167">
        <v>1</v>
      </c>
      <c r="E256" s="561">
        <v>34.32</v>
      </c>
      <c r="F256" s="167">
        <f>COMPOSIÇÕES!E256*COMPOSIÇÕES!D256</f>
        <v>34.32</v>
      </c>
      <c r="I256" s="167">
        <v>33.96</v>
      </c>
    </row>
    <row r="257" spans="1:9" s="6" customFormat="1" ht="15" customHeight="1" thickBot="1">
      <c r="A257" s="664" t="s">
        <v>542</v>
      </c>
      <c r="B257" s="516"/>
      <c r="C257" s="516"/>
      <c r="D257" s="516"/>
      <c r="E257" s="544"/>
      <c r="F257" s="18">
        <f>SUM(COMPOSIÇÕES!F255:F256)</f>
        <v>57.216499999999996</v>
      </c>
      <c r="I257" s="518"/>
    </row>
    <row r="258" spans="1:9" s="6" customFormat="1" ht="15" customHeight="1" thickBot="1">
      <c r="A258" s="666"/>
      <c r="B258" s="513"/>
      <c r="C258" s="513"/>
      <c r="D258" s="513"/>
      <c r="E258" s="542"/>
      <c r="F258" s="667"/>
      <c r="I258" s="513"/>
    </row>
    <row r="259" spans="1:256" ht="16.5" thickBot="1">
      <c r="A259" s="662" t="s">
        <v>588</v>
      </c>
      <c r="B259" s="30"/>
      <c r="C259" s="30"/>
      <c r="D259" s="30"/>
      <c r="E259" s="539"/>
      <c r="F259" s="663"/>
      <c r="G259" s="6"/>
      <c r="H259"/>
      <c r="I259" s="30"/>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6.5" customHeight="1" thickBot="1">
      <c r="A260" s="717" t="s">
        <v>380</v>
      </c>
      <c r="B260" s="718"/>
      <c r="C260" s="718"/>
      <c r="D260" s="718"/>
      <c r="E260" s="718"/>
      <c r="F260" s="719"/>
      <c r="G260" s="6"/>
      <c r="H260"/>
      <c r="I260" s="532"/>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5.75">
      <c r="A261" s="176" t="s">
        <v>412</v>
      </c>
      <c r="B261" s="177" t="s">
        <v>413</v>
      </c>
      <c r="C261" s="177" t="s">
        <v>414</v>
      </c>
      <c r="D261" s="178" t="s">
        <v>415</v>
      </c>
      <c r="E261" s="564" t="s">
        <v>416</v>
      </c>
      <c r="F261" s="178" t="s">
        <v>417</v>
      </c>
      <c r="G261" s="6"/>
      <c r="H261"/>
      <c r="I261" s="178" t="s">
        <v>416</v>
      </c>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38.25">
      <c r="A262" s="166" t="s">
        <v>589</v>
      </c>
      <c r="B262" s="166" t="s">
        <v>590</v>
      </c>
      <c r="C262" s="167" t="s">
        <v>537</v>
      </c>
      <c r="D262" s="167">
        <v>1.05</v>
      </c>
      <c r="E262" s="561">
        <v>70</v>
      </c>
      <c r="F262" s="167">
        <f>COMPOSIÇÕES!E262*COMPOSIÇÕES!D262</f>
        <v>73.5</v>
      </c>
      <c r="G262" s="6"/>
      <c r="H262"/>
      <c r="I262" s="167">
        <v>98.43</v>
      </c>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25.5">
      <c r="A263" s="166" t="s">
        <v>591</v>
      </c>
      <c r="B263" s="166" t="s">
        <v>592</v>
      </c>
      <c r="C263" s="167" t="s">
        <v>133</v>
      </c>
      <c r="D263" s="167">
        <v>0.4</v>
      </c>
      <c r="E263" s="561">
        <v>9.63</v>
      </c>
      <c r="F263" s="167">
        <f>COMPOSIÇÕES!E263*COMPOSIÇÕES!D263</f>
        <v>3.8520000000000003</v>
      </c>
      <c r="G263" s="6"/>
      <c r="H263"/>
      <c r="I263" s="167">
        <v>9.9</v>
      </c>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9" ht="25.5">
      <c r="A264" s="166" t="s">
        <v>593</v>
      </c>
      <c r="B264" s="166" t="s">
        <v>594</v>
      </c>
      <c r="C264" s="167" t="s">
        <v>95</v>
      </c>
      <c r="D264" s="167">
        <v>0.04</v>
      </c>
      <c r="E264" s="561">
        <v>19.25</v>
      </c>
      <c r="F264" s="167">
        <f>COMPOSIÇÕES!E264*COMPOSIÇÕES!D264</f>
        <v>0.77</v>
      </c>
      <c r="I264" s="167">
        <v>17.78</v>
      </c>
    </row>
    <row r="265" spans="1:9" s="6" customFormat="1" ht="25.5">
      <c r="A265" s="166" t="s">
        <v>566</v>
      </c>
      <c r="B265" s="166" t="s">
        <v>567</v>
      </c>
      <c r="C265" s="167" t="s">
        <v>568</v>
      </c>
      <c r="D265" s="167">
        <v>0.95</v>
      </c>
      <c r="E265" s="561">
        <v>11.98</v>
      </c>
      <c r="F265" s="167">
        <f>COMPOSIÇÕES!E265*COMPOSIÇÕES!D265</f>
        <v>11.381</v>
      </c>
      <c r="I265" s="167">
        <v>11.77</v>
      </c>
    </row>
    <row r="266" spans="1:9" ht="25.5">
      <c r="A266" s="166">
        <v>88315</v>
      </c>
      <c r="B266" s="166" t="s">
        <v>595</v>
      </c>
      <c r="C266" s="167" t="s">
        <v>433</v>
      </c>
      <c r="D266" s="167">
        <v>0.25</v>
      </c>
      <c r="E266" s="561">
        <v>15.3</v>
      </c>
      <c r="F266" s="167">
        <f>COMPOSIÇÕES!E266*COMPOSIÇÕES!D266</f>
        <v>3.825</v>
      </c>
      <c r="I266" s="167">
        <v>14.13</v>
      </c>
    </row>
    <row r="267" spans="1:9" s="6" customFormat="1" ht="15" customHeight="1" thickBot="1">
      <c r="A267" s="664" t="s">
        <v>542</v>
      </c>
      <c r="B267" s="516"/>
      <c r="C267" s="516"/>
      <c r="D267" s="516"/>
      <c r="E267" s="544"/>
      <c r="F267" s="18">
        <f>SUM(COMPOSIÇÕES!F262:F266)</f>
        <v>93.328</v>
      </c>
      <c r="I267" s="518"/>
    </row>
    <row r="268" spans="1:9" s="6" customFormat="1" ht="15" customHeight="1" thickBot="1">
      <c r="A268" s="666"/>
      <c r="B268" s="513"/>
      <c r="C268" s="513"/>
      <c r="D268" s="513"/>
      <c r="E268" s="542"/>
      <c r="F268" s="667"/>
      <c r="I268" s="513"/>
    </row>
    <row r="269" spans="1:9" s="41" customFormat="1" ht="15.75" thickBot="1">
      <c r="A269" s="662" t="s">
        <v>596</v>
      </c>
      <c r="B269" s="30"/>
      <c r="C269" s="30"/>
      <c r="D269" s="30"/>
      <c r="E269" s="539"/>
      <c r="F269" s="663"/>
      <c r="G269" s="40"/>
      <c r="I269" s="30"/>
    </row>
    <row r="270" spans="1:256" ht="16.5" customHeight="1" thickBot="1">
      <c r="A270" s="717" t="s">
        <v>385</v>
      </c>
      <c r="B270" s="718"/>
      <c r="C270" s="718"/>
      <c r="D270" s="718"/>
      <c r="E270" s="718"/>
      <c r="F270" s="719"/>
      <c r="G270" s="6"/>
      <c r="H270"/>
      <c r="I270" s="525"/>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5.75">
      <c r="A271" s="176" t="s">
        <v>412</v>
      </c>
      <c r="B271" s="177" t="s">
        <v>413</v>
      </c>
      <c r="C271" s="177" t="s">
        <v>414</v>
      </c>
      <c r="D271" s="178" t="s">
        <v>415</v>
      </c>
      <c r="E271" s="564" t="s">
        <v>416</v>
      </c>
      <c r="F271" s="178" t="s">
        <v>417</v>
      </c>
      <c r="G271" s="6"/>
      <c r="H271"/>
      <c r="I271" s="178" t="s">
        <v>416</v>
      </c>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25.5">
      <c r="A272" s="179" t="s">
        <v>597</v>
      </c>
      <c r="B272" s="179" t="s">
        <v>598</v>
      </c>
      <c r="C272" s="180" t="s">
        <v>537</v>
      </c>
      <c r="D272" s="180">
        <v>1</v>
      </c>
      <c r="E272" s="600">
        <f>SUM(F273:F276)</f>
        <v>37.59752</v>
      </c>
      <c r="F272" s="566">
        <f>COMPOSIÇÕES!E272*COMPOSIÇÕES!D272</f>
        <v>37.59752</v>
      </c>
      <c r="G272" s="6"/>
      <c r="H272"/>
      <c r="I272" s="180">
        <v>36.33</v>
      </c>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25.5">
      <c r="A273" s="166" t="s">
        <v>599</v>
      </c>
      <c r="B273" s="166" t="s">
        <v>600</v>
      </c>
      <c r="C273" s="167" t="s">
        <v>601</v>
      </c>
      <c r="D273" s="167">
        <v>0.009</v>
      </c>
      <c r="E273" s="561">
        <v>63.28</v>
      </c>
      <c r="F273" s="565">
        <f>COMPOSIÇÕES!E273*COMPOSIÇÕES!D273</f>
        <v>0.5695199999999999</v>
      </c>
      <c r="G273" s="6"/>
      <c r="H273"/>
      <c r="I273" s="167">
        <v>78.83</v>
      </c>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9" s="41" customFormat="1" ht="15">
      <c r="A274" s="166" t="s">
        <v>602</v>
      </c>
      <c r="B274" s="166" t="s">
        <v>603</v>
      </c>
      <c r="C274" s="167" t="s">
        <v>95</v>
      </c>
      <c r="D274" s="167">
        <v>2.8</v>
      </c>
      <c r="E274" s="561">
        <v>0.44</v>
      </c>
      <c r="F274" s="565">
        <f>COMPOSIÇÕES!E274*COMPOSIÇÕES!D274</f>
        <v>1.232</v>
      </c>
      <c r="G274" s="40"/>
      <c r="I274" s="167">
        <v>0.45</v>
      </c>
    </row>
    <row r="275" spans="1:256" ht="25.5">
      <c r="A275" s="166" t="s">
        <v>566</v>
      </c>
      <c r="B275" s="166" t="s">
        <v>567</v>
      </c>
      <c r="C275" s="167" t="s">
        <v>568</v>
      </c>
      <c r="D275" s="167">
        <v>1.2</v>
      </c>
      <c r="E275" s="561">
        <v>11.98</v>
      </c>
      <c r="F275" s="565">
        <f>COMPOSIÇÕES!E275*COMPOSIÇÕES!D275</f>
        <v>14.376</v>
      </c>
      <c r="G275" s="6"/>
      <c r="H275"/>
      <c r="I275" s="167">
        <v>11.7</v>
      </c>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5.5">
      <c r="A276" s="166" t="s">
        <v>581</v>
      </c>
      <c r="B276" s="166" t="s">
        <v>582</v>
      </c>
      <c r="C276" s="167" t="s">
        <v>568</v>
      </c>
      <c r="D276" s="167">
        <v>1.4</v>
      </c>
      <c r="E276" s="561">
        <v>15.3</v>
      </c>
      <c r="F276" s="565">
        <f>COMPOSIÇÕES!E276*COMPOSIÇÕES!D276</f>
        <v>21.419999999999998</v>
      </c>
      <c r="G276" s="6"/>
      <c r="H276"/>
      <c r="I276" s="167">
        <v>14.91</v>
      </c>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51">
      <c r="A277" s="179" t="s">
        <v>604</v>
      </c>
      <c r="B277" s="179" t="s">
        <v>605</v>
      </c>
      <c r="C277" s="180" t="s">
        <v>537</v>
      </c>
      <c r="D277" s="180">
        <v>0.3</v>
      </c>
      <c r="E277" s="600">
        <f>SUM(F278:F282)</f>
        <v>93.1472</v>
      </c>
      <c r="F277" s="566">
        <f>COMPOSIÇÕES!E277*COMPOSIÇÕES!D277</f>
        <v>27.94416</v>
      </c>
      <c r="G277" s="573"/>
      <c r="H277"/>
      <c r="I277" s="180">
        <v>122.58</v>
      </c>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38.25">
      <c r="A278" s="166" t="s">
        <v>589</v>
      </c>
      <c r="B278" s="166" t="s">
        <v>590</v>
      </c>
      <c r="C278" s="167" t="s">
        <v>537</v>
      </c>
      <c r="D278" s="167">
        <v>1.05</v>
      </c>
      <c r="E278" s="561">
        <v>70</v>
      </c>
      <c r="F278" s="565">
        <f>COMPOSIÇÕES!E278*COMPOSIÇÕES!D278</f>
        <v>73.5</v>
      </c>
      <c r="G278" s="6">
        <f>SUM(F278:F282)</f>
        <v>93.1472</v>
      </c>
      <c r="H278"/>
      <c r="I278" s="167">
        <v>95.25</v>
      </c>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5.5">
      <c r="A279" s="166" t="s">
        <v>591</v>
      </c>
      <c r="B279" s="166" t="s">
        <v>592</v>
      </c>
      <c r="C279" s="167" t="s">
        <v>133</v>
      </c>
      <c r="D279" s="167">
        <v>0.4</v>
      </c>
      <c r="E279" s="561">
        <v>9.63</v>
      </c>
      <c r="F279" s="565">
        <f>COMPOSIÇÕES!E279*COMPOSIÇÕES!D279</f>
        <v>3.8520000000000003</v>
      </c>
      <c r="G279" s="6"/>
      <c r="H279"/>
      <c r="I279" s="167">
        <v>9.9</v>
      </c>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9" s="41" customFormat="1" ht="25.5">
      <c r="A280" s="166" t="s">
        <v>593</v>
      </c>
      <c r="B280" s="166" t="s">
        <v>594</v>
      </c>
      <c r="C280" s="167" t="s">
        <v>95</v>
      </c>
      <c r="D280" s="167">
        <v>0.04</v>
      </c>
      <c r="E280" s="561">
        <v>19.23</v>
      </c>
      <c r="F280" s="565">
        <f>COMPOSIÇÕES!E280*COMPOSIÇÕES!D280</f>
        <v>0.7692</v>
      </c>
      <c r="G280" s="40"/>
      <c r="I280" s="167">
        <v>17.78</v>
      </c>
    </row>
    <row r="281" spans="1:9" ht="25.5">
      <c r="A281" s="166" t="s">
        <v>431</v>
      </c>
      <c r="B281" s="166" t="s">
        <v>567</v>
      </c>
      <c r="C281" s="167" t="s">
        <v>568</v>
      </c>
      <c r="D281" s="167">
        <v>0.95</v>
      </c>
      <c r="E281" s="561">
        <v>11.98</v>
      </c>
      <c r="F281" s="565">
        <f>COMPOSIÇÕES!E281*COMPOSIÇÕES!D281</f>
        <v>11.381</v>
      </c>
      <c r="I281" s="167">
        <v>11.7</v>
      </c>
    </row>
    <row r="282" spans="1:9" s="6" customFormat="1" ht="25.5">
      <c r="A282" s="166" t="s">
        <v>1774</v>
      </c>
      <c r="B282" s="166" t="s">
        <v>595</v>
      </c>
      <c r="C282" s="167" t="s">
        <v>433</v>
      </c>
      <c r="D282" s="167">
        <v>0.25</v>
      </c>
      <c r="E282" s="561">
        <v>14.58</v>
      </c>
      <c r="F282" s="565">
        <f>COMPOSIÇÕES!E282*COMPOSIÇÕES!D282</f>
        <v>3.645</v>
      </c>
      <c r="I282" s="167">
        <v>14.22</v>
      </c>
    </row>
    <row r="283" spans="1:9" ht="51">
      <c r="A283" s="179" t="s">
        <v>606</v>
      </c>
      <c r="B283" s="179" t="s">
        <v>607</v>
      </c>
      <c r="C283" s="180"/>
      <c r="D283" s="180">
        <v>1</v>
      </c>
      <c r="E283" s="600">
        <v>11.63</v>
      </c>
      <c r="F283" s="566">
        <f>COMPOSIÇÕES!E283*COMPOSIÇÕES!D283</f>
        <v>11.63</v>
      </c>
      <c r="I283" s="180">
        <v>12.26</v>
      </c>
    </row>
    <row r="284" spans="1:9" s="6" customFormat="1" ht="15" customHeight="1" thickBot="1">
      <c r="A284" s="664" t="s">
        <v>542</v>
      </c>
      <c r="B284" s="516"/>
      <c r="C284" s="516"/>
      <c r="D284" s="516"/>
      <c r="E284" s="544"/>
      <c r="F284" s="18">
        <f>COMPOSIÇÕES!F283+COMPOSIÇÕES!F277+COMPOSIÇÕES!F272</f>
        <v>77.17168000000001</v>
      </c>
      <c r="I284" s="518"/>
    </row>
    <row r="285" spans="1:9" s="6" customFormat="1" ht="15" customHeight="1" thickBot="1">
      <c r="A285" s="666"/>
      <c r="B285" s="513"/>
      <c r="C285" s="513"/>
      <c r="D285" s="513"/>
      <c r="E285" s="542"/>
      <c r="F285" s="667"/>
      <c r="I285" s="513"/>
    </row>
    <row r="286" spans="1:256" ht="16.5" thickBot="1">
      <c r="A286" s="662" t="s">
        <v>608</v>
      </c>
      <c r="B286" s="30"/>
      <c r="C286" s="30"/>
      <c r="D286" s="30"/>
      <c r="E286" s="539"/>
      <c r="F286" s="663"/>
      <c r="G286" s="6"/>
      <c r="H286"/>
      <c r="I286" s="30"/>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6.5" customHeight="1" thickBot="1">
      <c r="A287" s="717" t="s">
        <v>159</v>
      </c>
      <c r="B287" s="718"/>
      <c r="C287" s="718"/>
      <c r="D287" s="718"/>
      <c r="E287" s="718"/>
      <c r="F287" s="719"/>
      <c r="G287" s="6"/>
      <c r="H287"/>
      <c r="I287" s="525"/>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5.75">
      <c r="A288" s="176" t="s">
        <v>412</v>
      </c>
      <c r="B288" s="177" t="s">
        <v>413</v>
      </c>
      <c r="C288" s="177" t="s">
        <v>414</v>
      </c>
      <c r="D288" s="178" t="s">
        <v>415</v>
      </c>
      <c r="E288" s="564" t="s">
        <v>416</v>
      </c>
      <c r="F288" s="178" t="s">
        <v>417</v>
      </c>
      <c r="G288" s="6"/>
      <c r="H288"/>
      <c r="I288" s="178" t="s">
        <v>416</v>
      </c>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5.5">
      <c r="A289" s="166" t="s">
        <v>431</v>
      </c>
      <c r="B289" s="166" t="s">
        <v>567</v>
      </c>
      <c r="C289" s="167" t="s">
        <v>568</v>
      </c>
      <c r="D289" s="167">
        <v>0.096</v>
      </c>
      <c r="E289" s="561">
        <v>11.98</v>
      </c>
      <c r="F289" s="167">
        <f aca="true" t="shared" si="0" ref="F289:F294">E289*D289</f>
        <v>1.15008</v>
      </c>
      <c r="G289" s="6"/>
      <c r="H289"/>
      <c r="I289" s="167">
        <v>11.77</v>
      </c>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5.5">
      <c r="A290" s="166" t="s">
        <v>1756</v>
      </c>
      <c r="B290" s="166" t="s">
        <v>609</v>
      </c>
      <c r="C290" s="167" t="s">
        <v>568</v>
      </c>
      <c r="D290" s="167">
        <v>0.091</v>
      </c>
      <c r="E290" s="561">
        <v>13.65</v>
      </c>
      <c r="F290" s="167">
        <f t="shared" si="0"/>
        <v>1.24215</v>
      </c>
      <c r="G290" s="6"/>
      <c r="H290"/>
      <c r="I290" s="167">
        <v>13.24</v>
      </c>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63.75">
      <c r="A291" s="166" t="s">
        <v>1757</v>
      </c>
      <c r="B291" s="166" t="s">
        <v>610</v>
      </c>
      <c r="C291" s="167" t="s">
        <v>611</v>
      </c>
      <c r="D291" s="167">
        <v>0.0007</v>
      </c>
      <c r="E291" s="561">
        <v>316.31</v>
      </c>
      <c r="F291" s="167">
        <f t="shared" si="0"/>
        <v>0.221417</v>
      </c>
      <c r="G291" s="6"/>
      <c r="H291"/>
      <c r="I291" s="167">
        <v>257.84</v>
      </c>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9" ht="63.75">
      <c r="A292" s="166" t="s">
        <v>1758</v>
      </c>
      <c r="B292" s="166" t="s">
        <v>612</v>
      </c>
      <c r="C292" s="167" t="s">
        <v>613</v>
      </c>
      <c r="D292" s="167">
        <v>0.001</v>
      </c>
      <c r="E292" s="561">
        <v>80.35</v>
      </c>
      <c r="F292" s="167">
        <f t="shared" si="0"/>
        <v>0.08034999999999999</v>
      </c>
      <c r="I292" s="167">
        <v>91.07</v>
      </c>
    </row>
    <row r="293" spans="1:9" s="6" customFormat="1" ht="63.75">
      <c r="A293" s="166" t="s">
        <v>1759</v>
      </c>
      <c r="B293" s="166" t="s">
        <v>614</v>
      </c>
      <c r="C293" s="167" t="s">
        <v>570</v>
      </c>
      <c r="D293" s="167">
        <v>1.166</v>
      </c>
      <c r="E293" s="561">
        <v>70.24</v>
      </c>
      <c r="F293" s="167">
        <f t="shared" si="0"/>
        <v>81.89983999999998</v>
      </c>
      <c r="I293" s="181">
        <v>70.93</v>
      </c>
    </row>
    <row r="294" spans="1:9" ht="63.75">
      <c r="A294" s="166" t="s">
        <v>1760</v>
      </c>
      <c r="B294" s="166" t="s">
        <v>615</v>
      </c>
      <c r="C294" s="167" t="s">
        <v>616</v>
      </c>
      <c r="D294" s="167">
        <v>4.15</v>
      </c>
      <c r="E294" s="561">
        <v>1.31</v>
      </c>
      <c r="F294" s="167">
        <f t="shared" si="0"/>
        <v>5.4365000000000006</v>
      </c>
      <c r="I294" s="167">
        <v>1.41</v>
      </c>
    </row>
    <row r="295" spans="1:9" s="6" customFormat="1" ht="15" customHeight="1" thickBot="1">
      <c r="A295" s="664" t="s">
        <v>542</v>
      </c>
      <c r="B295" s="516"/>
      <c r="C295" s="516"/>
      <c r="D295" s="516"/>
      <c r="E295" s="544"/>
      <c r="F295" s="18">
        <f>SUM(F289:F294)</f>
        <v>90.03033699999997</v>
      </c>
      <c r="I295" s="518"/>
    </row>
    <row r="296" spans="1:9" s="6" customFormat="1" ht="15" customHeight="1" thickBot="1">
      <c r="A296" s="666"/>
      <c r="B296" s="513"/>
      <c r="C296" s="513"/>
      <c r="D296" s="513"/>
      <c r="E296" s="542"/>
      <c r="F296" s="667"/>
      <c r="I296" s="513"/>
    </row>
    <row r="297" spans="1:9" ht="16.5" thickBot="1">
      <c r="A297" s="662" t="s">
        <v>617</v>
      </c>
      <c r="B297" s="30"/>
      <c r="C297" s="30"/>
      <c r="D297" s="30"/>
      <c r="E297" s="539"/>
      <c r="F297" s="663"/>
      <c r="I297" s="30"/>
    </row>
    <row r="298" spans="1:9" ht="16.5" customHeight="1" thickBot="1">
      <c r="A298" s="717" t="s">
        <v>387</v>
      </c>
      <c r="B298" s="718"/>
      <c r="C298" s="718"/>
      <c r="D298" s="718"/>
      <c r="E298" s="718"/>
      <c r="F298" s="719"/>
      <c r="I298" s="525"/>
    </row>
    <row r="299" spans="1:9" ht="16.5" thickBot="1">
      <c r="A299" s="173" t="s">
        <v>412</v>
      </c>
      <c r="B299" s="174" t="s">
        <v>413</v>
      </c>
      <c r="C299" s="174" t="s">
        <v>414</v>
      </c>
      <c r="D299" s="175" t="s">
        <v>415</v>
      </c>
      <c r="E299" s="555" t="s">
        <v>416</v>
      </c>
      <c r="F299" s="175" t="s">
        <v>417</v>
      </c>
      <c r="I299" s="175" t="s">
        <v>416</v>
      </c>
    </row>
    <row r="300" spans="1:9" ht="115.5" thickBot="1">
      <c r="A300" s="33" t="s">
        <v>547</v>
      </c>
      <c r="B300" s="34" t="s">
        <v>548</v>
      </c>
      <c r="C300" s="34" t="s">
        <v>26</v>
      </c>
      <c r="D300" s="35">
        <f>(0.3*1.9*2+0.7*1.9)*2+2*0.25*0.3</f>
        <v>5.09</v>
      </c>
      <c r="E300" s="599">
        <v>42.36</v>
      </c>
      <c r="F300" s="36">
        <f>COMPOSIÇÕES!E300*COMPOSIÇÕES!D300</f>
        <v>215.61239999999998</v>
      </c>
      <c r="I300" s="36">
        <v>40.85</v>
      </c>
    </row>
    <row r="301" spans="1:9" ht="90" thickBot="1">
      <c r="A301" s="33" t="s">
        <v>549</v>
      </c>
      <c r="B301" s="34" t="s">
        <v>550</v>
      </c>
      <c r="C301" s="34" t="s">
        <v>26</v>
      </c>
      <c r="D301" s="35">
        <f>D300</f>
        <v>5.09</v>
      </c>
      <c r="E301" s="599">
        <v>3.89</v>
      </c>
      <c r="F301" s="36">
        <f>COMPOSIÇÕES!E301*COMPOSIÇÕES!D301</f>
        <v>19.8001</v>
      </c>
      <c r="I301" s="36">
        <v>3.75</v>
      </c>
    </row>
    <row r="302" spans="1:9" ht="51.75" thickBot="1">
      <c r="A302" s="33" t="s">
        <v>1629</v>
      </c>
      <c r="B302" s="34" t="s">
        <v>618</v>
      </c>
      <c r="C302" s="34" t="s">
        <v>26</v>
      </c>
      <c r="D302" s="35">
        <f>D301</f>
        <v>5.09</v>
      </c>
      <c r="E302" s="601">
        <v>36.21</v>
      </c>
      <c r="F302" s="36">
        <f>COMPOSIÇÕES!E302*COMPOSIÇÕES!D302</f>
        <v>184.3089</v>
      </c>
      <c r="I302" s="43">
        <v>35.49</v>
      </c>
    </row>
    <row r="303" spans="1:9" ht="51.75" thickBot="1">
      <c r="A303" s="33" t="s">
        <v>619</v>
      </c>
      <c r="B303" s="34" t="s">
        <v>620</v>
      </c>
      <c r="C303" s="34" t="s">
        <v>52</v>
      </c>
      <c r="D303" s="35">
        <f>(0.3*1.9*2+0.7*1.9)*0.25</f>
        <v>0.6174999999999999</v>
      </c>
      <c r="E303" s="599">
        <v>73.24</v>
      </c>
      <c r="F303" s="36">
        <f>COMPOSIÇÕES!E303*COMPOSIÇÕES!D303</f>
        <v>45.22569999999999</v>
      </c>
      <c r="I303" s="36">
        <v>64.4</v>
      </c>
    </row>
    <row r="304" spans="1:9" ht="15" customHeight="1" thickBot="1">
      <c r="A304" s="33" t="s">
        <v>621</v>
      </c>
      <c r="B304" s="34" t="s">
        <v>622</v>
      </c>
      <c r="C304" s="34" t="s">
        <v>52</v>
      </c>
      <c r="D304" s="35">
        <f>3*0.1*0.4*1.9</f>
        <v>0.22800000000000004</v>
      </c>
      <c r="E304" s="601">
        <v>403.58</v>
      </c>
      <c r="F304" s="36">
        <f>COMPOSIÇÕES!E304*COMPOSIÇÕES!D304</f>
        <v>92.01624000000001</v>
      </c>
      <c r="I304" s="43">
        <v>394.75</v>
      </c>
    </row>
    <row r="305" spans="1:9" ht="51.75" thickBot="1">
      <c r="A305" s="42" t="s">
        <v>623</v>
      </c>
      <c r="B305" s="34" t="s">
        <v>624</v>
      </c>
      <c r="C305" s="34" t="s">
        <v>26</v>
      </c>
      <c r="D305" s="35">
        <f>0.1*(0.4*2+1.9*3)</f>
        <v>0.6499999999999999</v>
      </c>
      <c r="E305" s="601">
        <v>43.73</v>
      </c>
      <c r="F305" s="36">
        <f>COMPOSIÇÕES!E305*COMPOSIÇÕES!D305</f>
        <v>28.424499999999995</v>
      </c>
      <c r="I305" s="43">
        <v>36.72</v>
      </c>
    </row>
    <row r="306" spans="1:9" ht="51.75" thickBot="1">
      <c r="A306" s="33" t="s">
        <v>625</v>
      </c>
      <c r="B306" s="34" t="s">
        <v>626</v>
      </c>
      <c r="C306" s="34" t="s">
        <v>26</v>
      </c>
      <c r="D306" s="35">
        <f>D300+0.4*1.9*3</f>
        <v>7.37</v>
      </c>
      <c r="E306" s="599">
        <v>34.65</v>
      </c>
      <c r="F306" s="36">
        <f>COMPOSIÇÕES!E306*COMPOSIÇÕES!D306</f>
        <v>255.3705</v>
      </c>
      <c r="I306" s="36">
        <v>33.91</v>
      </c>
    </row>
    <row r="307" spans="1:9" ht="16.5" thickBot="1">
      <c r="A307" s="662" t="s">
        <v>542</v>
      </c>
      <c r="B307" s="30"/>
      <c r="C307" s="30"/>
      <c r="D307" s="30"/>
      <c r="E307" s="547"/>
      <c r="F307" s="37">
        <f>SUM(COMPOSIÇÕES!F300:F306)</f>
        <v>840.75834</v>
      </c>
      <c r="I307" s="31"/>
    </row>
    <row r="308" spans="1:9" ht="16.5" thickBot="1">
      <c r="A308" s="666"/>
      <c r="B308" s="513"/>
      <c r="C308" s="513"/>
      <c r="D308" s="513"/>
      <c r="E308" s="542"/>
      <c r="F308" s="667"/>
      <c r="I308" s="513"/>
    </row>
    <row r="309" spans="1:9" ht="16.5" thickBot="1">
      <c r="A309" s="662" t="s">
        <v>1630</v>
      </c>
      <c r="B309" s="30"/>
      <c r="C309" s="30"/>
      <c r="D309" s="30"/>
      <c r="E309" s="539"/>
      <c r="F309" s="663"/>
      <c r="I309" s="30"/>
    </row>
    <row r="310" spans="1:9" ht="16.5" customHeight="1" thickBot="1">
      <c r="A310" s="717" t="s">
        <v>479</v>
      </c>
      <c r="B310" s="718"/>
      <c r="C310" s="718"/>
      <c r="D310" s="718"/>
      <c r="E310" s="718"/>
      <c r="F310" s="719"/>
      <c r="I310" s="520"/>
    </row>
    <row r="311" spans="1:9" ht="16.5" thickBot="1">
      <c r="A311" s="169" t="s">
        <v>412</v>
      </c>
      <c r="B311" s="170" t="s">
        <v>413</v>
      </c>
      <c r="C311" s="170" t="s">
        <v>414</v>
      </c>
      <c r="D311" s="171" t="s">
        <v>415</v>
      </c>
      <c r="E311" s="550" t="s">
        <v>416</v>
      </c>
      <c r="F311" s="171" t="s">
        <v>417</v>
      </c>
      <c r="I311" s="171" t="s">
        <v>416</v>
      </c>
    </row>
    <row r="312" spans="1:9" ht="15.75">
      <c r="A312" s="20" t="s">
        <v>480</v>
      </c>
      <c r="B312" s="21" t="s">
        <v>481</v>
      </c>
      <c r="C312" s="21" t="s">
        <v>95</v>
      </c>
      <c r="D312" s="22">
        <v>8.62</v>
      </c>
      <c r="E312" s="570">
        <v>1.55</v>
      </c>
      <c r="F312" s="23">
        <f>COMPOSIÇÕES!E312*COMPOSIÇÕES!D312</f>
        <v>13.360999999999999</v>
      </c>
      <c r="I312" s="23">
        <v>2.01</v>
      </c>
    </row>
    <row r="313" spans="1:9" ht="25.5">
      <c r="A313" s="11" t="s">
        <v>482</v>
      </c>
      <c r="B313" s="8" t="s">
        <v>483</v>
      </c>
      <c r="C313" s="8" t="s">
        <v>433</v>
      </c>
      <c r="D313" s="9">
        <v>1.06</v>
      </c>
      <c r="E313" s="595">
        <v>14.19</v>
      </c>
      <c r="F313" s="10">
        <f>COMPOSIÇÕES!D313*COMPOSIÇÕES!E313</f>
        <v>15.0414</v>
      </c>
      <c r="I313" s="10">
        <v>13.76</v>
      </c>
    </row>
    <row r="314" spans="1:9" ht="16.5" thickBot="1">
      <c r="A314" s="25" t="s">
        <v>431</v>
      </c>
      <c r="B314" s="26" t="s">
        <v>432</v>
      </c>
      <c r="C314" s="26" t="s">
        <v>433</v>
      </c>
      <c r="D314" s="27">
        <v>0.37</v>
      </c>
      <c r="E314" s="598">
        <v>11.98</v>
      </c>
      <c r="F314" s="14">
        <f>COMPOSIÇÕES!D314*COMPOSIÇÕES!E314</f>
        <v>4.4326</v>
      </c>
      <c r="I314" s="28">
        <v>11.77</v>
      </c>
    </row>
    <row r="315" spans="1:9" ht="26.25" thickBot="1">
      <c r="A315" s="161" t="s">
        <v>466</v>
      </c>
      <c r="B315" s="162" t="s">
        <v>484</v>
      </c>
      <c r="C315" s="162" t="s">
        <v>26</v>
      </c>
      <c r="D315" s="163">
        <v>1.12</v>
      </c>
      <c r="E315" s="568">
        <f>AVERAGE(98.64,140)*(1+F468)</f>
        <v>120.57636248432017</v>
      </c>
      <c r="F315" s="165">
        <f>COMPOSIÇÕES!D315*COMPOSIÇÕES!E315</f>
        <v>135.0455259824386</v>
      </c>
      <c r="I315" s="172">
        <f>AVERAGE(98.64,140)</f>
        <v>119.32</v>
      </c>
    </row>
    <row r="316" spans="1:9" ht="16.5" thickBot="1">
      <c r="A316" s="662" t="s">
        <v>436</v>
      </c>
      <c r="B316" s="30"/>
      <c r="C316" s="30"/>
      <c r="D316" s="30"/>
      <c r="E316" s="547"/>
      <c r="F316" s="29">
        <f>SUM(COMPOSIÇÕES!F312:F315)</f>
        <v>167.8805259824386</v>
      </c>
      <c r="I316" s="31"/>
    </row>
    <row r="317" spans="1:9" ht="16.5" thickBot="1">
      <c r="A317" s="666"/>
      <c r="B317" s="513"/>
      <c r="C317" s="513"/>
      <c r="D317" s="513"/>
      <c r="E317" s="542"/>
      <c r="F317" s="667"/>
      <c r="I317" s="513"/>
    </row>
    <row r="318" spans="1:9" ht="16.5" thickBot="1">
      <c r="A318" s="662" t="s">
        <v>1631</v>
      </c>
      <c r="B318" s="30"/>
      <c r="C318" s="30"/>
      <c r="D318" s="30"/>
      <c r="E318" s="539"/>
      <c r="F318" s="663"/>
      <c r="I318" s="30"/>
    </row>
    <row r="319" spans="1:9" ht="16.5" customHeight="1" thickBot="1">
      <c r="A319" s="717" t="s">
        <v>342</v>
      </c>
      <c r="B319" s="718"/>
      <c r="C319" s="718"/>
      <c r="D319" s="718"/>
      <c r="E319" s="718"/>
      <c r="F319" s="719"/>
      <c r="I319" s="520"/>
    </row>
    <row r="320" spans="1:9" ht="16.5" thickBot="1">
      <c r="A320" s="169" t="s">
        <v>412</v>
      </c>
      <c r="B320" s="170" t="s">
        <v>413</v>
      </c>
      <c r="C320" s="170" t="s">
        <v>414</v>
      </c>
      <c r="D320" s="171" t="s">
        <v>415</v>
      </c>
      <c r="E320" s="550" t="s">
        <v>416</v>
      </c>
      <c r="F320" s="171" t="s">
        <v>417</v>
      </c>
      <c r="I320" s="171" t="s">
        <v>416</v>
      </c>
    </row>
    <row r="321" spans="1:9" ht="15.75">
      <c r="A321" s="20" t="s">
        <v>480</v>
      </c>
      <c r="B321" s="21" t="s">
        <v>481</v>
      </c>
      <c r="C321" s="21" t="s">
        <v>95</v>
      </c>
      <c r="D321" s="22">
        <v>4.31</v>
      </c>
      <c r="E321" s="570">
        <v>1.55</v>
      </c>
      <c r="F321" s="23">
        <f>COMPOSIÇÕES!E321*COMPOSIÇÕES!D321</f>
        <v>6.680499999999999</v>
      </c>
      <c r="I321" s="23">
        <v>2.01</v>
      </c>
    </row>
    <row r="322" spans="1:9" ht="25.5">
      <c r="A322" s="11" t="s">
        <v>482</v>
      </c>
      <c r="B322" s="8" t="s">
        <v>483</v>
      </c>
      <c r="C322" s="8" t="s">
        <v>433</v>
      </c>
      <c r="D322" s="9">
        <v>0.53</v>
      </c>
      <c r="E322" s="595">
        <v>14.19</v>
      </c>
      <c r="F322" s="10">
        <f>COMPOSIÇÕES!D322*COMPOSIÇÕES!E322</f>
        <v>7.5207</v>
      </c>
      <c r="I322" s="10">
        <v>13.76</v>
      </c>
    </row>
    <row r="323" spans="1:9" ht="16.5" thickBot="1">
      <c r="A323" s="25" t="s">
        <v>431</v>
      </c>
      <c r="B323" s="26" t="s">
        <v>432</v>
      </c>
      <c r="C323" s="26" t="s">
        <v>433</v>
      </c>
      <c r="D323" s="27">
        <v>0.185</v>
      </c>
      <c r="E323" s="598">
        <v>11.98</v>
      </c>
      <c r="F323" s="14">
        <f>COMPOSIÇÕES!D323*COMPOSIÇÕES!E323</f>
        <v>2.2163</v>
      </c>
      <c r="I323" s="28">
        <v>11.77</v>
      </c>
    </row>
    <row r="324" spans="1:9" ht="39" thickBot="1">
      <c r="A324" s="161" t="s">
        <v>466</v>
      </c>
      <c r="B324" s="162" t="s">
        <v>1635</v>
      </c>
      <c r="C324" s="162" t="s">
        <v>1636</v>
      </c>
      <c r="D324" s="163">
        <v>1</v>
      </c>
      <c r="E324" s="569">
        <f>AVERAGE(132,117.16)*(1+F468)</f>
        <v>125.89174688481904</v>
      </c>
      <c r="F324" s="165">
        <f>COMPOSIÇÕES!D324*COMPOSIÇÕES!E324</f>
        <v>125.89174688481904</v>
      </c>
      <c r="I324" s="164">
        <f>AVERAGE(132,117.16)</f>
        <v>124.58</v>
      </c>
    </row>
    <row r="325" spans="1:9" ht="16.5" thickBot="1">
      <c r="A325" s="662" t="s">
        <v>436</v>
      </c>
      <c r="B325" s="30"/>
      <c r="C325" s="30"/>
      <c r="D325" s="30"/>
      <c r="E325" s="547"/>
      <c r="F325" s="29">
        <f>SUM(COMPOSIÇÕES!F321:F324)</f>
        <v>142.30924688481903</v>
      </c>
      <c r="I325" s="31"/>
    </row>
    <row r="326" spans="1:9" ht="16.5" thickBot="1">
      <c r="A326" s="666"/>
      <c r="B326" s="513"/>
      <c r="C326" s="513"/>
      <c r="D326" s="513"/>
      <c r="E326" s="542"/>
      <c r="F326" s="667"/>
      <c r="I326" s="513"/>
    </row>
    <row r="327" spans="1:9" ht="16.5" thickBot="1">
      <c r="A327" s="662" t="s">
        <v>1632</v>
      </c>
      <c r="B327" s="30"/>
      <c r="C327" s="30"/>
      <c r="D327" s="30"/>
      <c r="E327" s="539"/>
      <c r="F327" s="663"/>
      <c r="I327" s="30"/>
    </row>
    <row r="328" spans="1:9" ht="16.5" customHeight="1" thickBot="1">
      <c r="A328" s="717" t="s">
        <v>1633</v>
      </c>
      <c r="B328" s="718"/>
      <c r="C328" s="718"/>
      <c r="D328" s="718"/>
      <c r="E328" s="718"/>
      <c r="F328" s="719"/>
      <c r="I328" s="520"/>
    </row>
    <row r="329" spans="1:9" ht="16.5" thickBot="1">
      <c r="A329" s="169" t="s">
        <v>412</v>
      </c>
      <c r="B329" s="170" t="s">
        <v>413</v>
      </c>
      <c r="C329" s="170" t="s">
        <v>414</v>
      </c>
      <c r="D329" s="171" t="s">
        <v>415</v>
      </c>
      <c r="E329" s="550" t="s">
        <v>416</v>
      </c>
      <c r="F329" s="171" t="s">
        <v>417</v>
      </c>
      <c r="I329" s="171" t="s">
        <v>416</v>
      </c>
    </row>
    <row r="330" spans="1:9" ht="15.75">
      <c r="A330" s="20" t="s">
        <v>480</v>
      </c>
      <c r="B330" s="21" t="s">
        <v>481</v>
      </c>
      <c r="C330" s="21" t="s">
        <v>95</v>
      </c>
      <c r="D330" s="22">
        <v>2.155</v>
      </c>
      <c r="E330" s="570">
        <v>1.55</v>
      </c>
      <c r="F330" s="23">
        <f>COMPOSIÇÕES!E330*COMPOSIÇÕES!D330</f>
        <v>3.3402499999999997</v>
      </c>
      <c r="I330" s="23">
        <v>2.01</v>
      </c>
    </row>
    <row r="331" spans="1:9" ht="25.5">
      <c r="A331" s="11" t="s">
        <v>482</v>
      </c>
      <c r="B331" s="8" t="s">
        <v>483</v>
      </c>
      <c r="C331" s="8" t="s">
        <v>433</v>
      </c>
      <c r="D331" s="9">
        <v>0.26</v>
      </c>
      <c r="E331" s="595">
        <v>14.19</v>
      </c>
      <c r="F331" s="10">
        <f>COMPOSIÇÕES!D331*COMPOSIÇÕES!E331</f>
        <v>3.6894</v>
      </c>
      <c r="I331" s="10">
        <v>13.76</v>
      </c>
    </row>
    <row r="332" spans="1:9" ht="16.5" thickBot="1">
      <c r="A332" s="25" t="s">
        <v>431</v>
      </c>
      <c r="B332" s="26" t="s">
        <v>432</v>
      </c>
      <c r="C332" s="26" t="s">
        <v>433</v>
      </c>
      <c r="D332" s="27">
        <v>0.1</v>
      </c>
      <c r="E332" s="598">
        <v>11.98</v>
      </c>
      <c r="F332" s="14">
        <f>COMPOSIÇÕES!D332*COMPOSIÇÕES!E332</f>
        <v>1.1980000000000002</v>
      </c>
      <c r="I332" s="28">
        <v>11.77</v>
      </c>
    </row>
    <row r="333" spans="1:9" ht="39" thickBot="1">
      <c r="A333" s="161" t="s">
        <v>466</v>
      </c>
      <c r="B333" s="162" t="s">
        <v>1634</v>
      </c>
      <c r="C333" s="162" t="s">
        <v>18</v>
      </c>
      <c r="D333" s="163">
        <v>1</v>
      </c>
      <c r="E333" s="569">
        <f>AVERAGE(231,194.88)*(1+F468)</f>
        <v>215.18212057837027</v>
      </c>
      <c r="F333" s="14">
        <f>COMPOSIÇÕES!D333*COMPOSIÇÕES!E333</f>
        <v>215.18212057837027</v>
      </c>
      <c r="I333" s="164">
        <f>AVERAGE(231,194.88)</f>
        <v>212.94</v>
      </c>
    </row>
    <row r="334" spans="1:9" ht="16.5" thickBot="1">
      <c r="A334" s="662" t="s">
        <v>436</v>
      </c>
      <c r="B334" s="30"/>
      <c r="C334" s="30"/>
      <c r="D334" s="30"/>
      <c r="E334" s="547"/>
      <c r="F334" s="29">
        <f>SUM(COMPOSIÇÕES!F330:F333)</f>
        <v>223.40977057837028</v>
      </c>
      <c r="I334" s="31"/>
    </row>
    <row r="335" spans="1:9" ht="16.5" thickBot="1">
      <c r="A335" s="666"/>
      <c r="B335" s="513"/>
      <c r="C335" s="513"/>
      <c r="D335" s="513"/>
      <c r="E335" s="542"/>
      <c r="F335" s="667"/>
      <c r="I335" s="513"/>
    </row>
    <row r="336" spans="1:9" ht="16.5" thickBot="1">
      <c r="A336" s="662" t="s">
        <v>1640</v>
      </c>
      <c r="B336" s="30"/>
      <c r="C336" s="30"/>
      <c r="D336" s="30"/>
      <c r="E336" s="539"/>
      <c r="F336" s="663"/>
      <c r="I336" s="30"/>
    </row>
    <row r="337" spans="1:9" ht="16.5" customHeight="1" thickBot="1">
      <c r="A337" s="717" t="s">
        <v>1639</v>
      </c>
      <c r="B337" s="718"/>
      <c r="C337" s="718"/>
      <c r="D337" s="718"/>
      <c r="E337" s="718"/>
      <c r="F337" s="719"/>
      <c r="I337" s="520"/>
    </row>
    <row r="338" spans="1:9" ht="16.5" thickBot="1">
      <c r="A338" s="169" t="s">
        <v>412</v>
      </c>
      <c r="B338" s="170" t="s">
        <v>413</v>
      </c>
      <c r="C338" s="170" t="s">
        <v>414</v>
      </c>
      <c r="D338" s="171" t="s">
        <v>415</v>
      </c>
      <c r="E338" s="550" t="s">
        <v>416</v>
      </c>
      <c r="F338" s="171" t="s">
        <v>417</v>
      </c>
      <c r="I338" s="171" t="s">
        <v>416</v>
      </c>
    </row>
    <row r="339" spans="1:9" ht="15.75">
      <c r="A339" s="20" t="s">
        <v>1642</v>
      </c>
      <c r="B339" s="21" t="s">
        <v>1641</v>
      </c>
      <c r="C339" s="21" t="s">
        <v>133</v>
      </c>
      <c r="D339" s="22">
        <v>1.2</v>
      </c>
      <c r="E339" s="570">
        <v>0.18</v>
      </c>
      <c r="F339" s="23">
        <f>COMPOSIÇÕES!E339*COMPOSIÇÕES!D339</f>
        <v>0.216</v>
      </c>
      <c r="I339" s="23">
        <v>0.17</v>
      </c>
    </row>
    <row r="340" spans="1:9" ht="38.25">
      <c r="A340" s="11" t="s">
        <v>468</v>
      </c>
      <c r="B340" s="8" t="s">
        <v>1643</v>
      </c>
      <c r="C340" s="8" t="s">
        <v>433</v>
      </c>
      <c r="D340" s="9">
        <v>0.4</v>
      </c>
      <c r="E340" s="595">
        <v>18.31</v>
      </c>
      <c r="F340" s="10">
        <f>COMPOSIÇÕES!D340*COMPOSIÇÕES!E340</f>
        <v>7.324</v>
      </c>
      <c r="I340" s="10">
        <v>17.72</v>
      </c>
    </row>
    <row r="341" spans="1:9" ht="16.5" thickBot="1">
      <c r="A341" s="25" t="s">
        <v>431</v>
      </c>
      <c r="B341" s="26" t="s">
        <v>432</v>
      </c>
      <c r="C341" s="26" t="s">
        <v>433</v>
      </c>
      <c r="D341" s="27">
        <v>0.4</v>
      </c>
      <c r="E341" s="598">
        <v>11.98</v>
      </c>
      <c r="F341" s="14">
        <f>COMPOSIÇÕES!D341*COMPOSIÇÕES!E341</f>
        <v>4.792000000000001</v>
      </c>
      <c r="I341" s="28">
        <v>11.77</v>
      </c>
    </row>
    <row r="342" spans="1:9" ht="26.25" thickBot="1">
      <c r="A342" s="161" t="s">
        <v>466</v>
      </c>
      <c r="B342" s="162" t="s">
        <v>1644</v>
      </c>
      <c r="C342" s="162" t="s">
        <v>18</v>
      </c>
      <c r="D342" s="163">
        <v>1</v>
      </c>
      <c r="E342" s="569">
        <f>AVERAGE(11.9,50,43.83)*(1+F468)</f>
        <v>35.614422855813984</v>
      </c>
      <c r="F342" s="165">
        <f>COMPOSIÇÕES!D342*COMPOSIÇÕES!E342</f>
        <v>35.614422855813984</v>
      </c>
      <c r="I342" s="164">
        <f>AVERAGE(11.9,50,43.83)</f>
        <v>35.24333333333333</v>
      </c>
    </row>
    <row r="343" spans="1:9" ht="16.5" thickBot="1">
      <c r="A343" s="662" t="s">
        <v>436</v>
      </c>
      <c r="B343" s="30"/>
      <c r="C343" s="30"/>
      <c r="D343" s="30"/>
      <c r="E343" s="547"/>
      <c r="F343" s="29">
        <f>SUM(COMPOSIÇÕES!F339:F342)</f>
        <v>47.946422855813985</v>
      </c>
      <c r="I343" s="31"/>
    </row>
    <row r="344" spans="1:9" ht="16.5" thickBot="1">
      <c r="A344" s="666"/>
      <c r="B344" s="513"/>
      <c r="C344" s="513"/>
      <c r="D344" s="513"/>
      <c r="E344" s="542"/>
      <c r="F344" s="667"/>
      <c r="I344" s="513"/>
    </row>
    <row r="345" spans="1:9" ht="16.5" thickBot="1">
      <c r="A345" s="662" t="s">
        <v>1645</v>
      </c>
      <c r="B345" s="30"/>
      <c r="C345" s="30"/>
      <c r="D345" s="30"/>
      <c r="E345" s="539"/>
      <c r="F345" s="663"/>
      <c r="I345" s="30"/>
    </row>
    <row r="346" spans="1:9" ht="16.5" customHeight="1" thickBot="1">
      <c r="A346" s="717" t="s">
        <v>1646</v>
      </c>
      <c r="B346" s="718"/>
      <c r="C346" s="718"/>
      <c r="D346" s="718"/>
      <c r="E346" s="718"/>
      <c r="F346" s="719"/>
      <c r="I346" s="520"/>
    </row>
    <row r="347" spans="1:9" ht="16.5" thickBot="1">
      <c r="A347" s="169" t="s">
        <v>412</v>
      </c>
      <c r="B347" s="170" t="s">
        <v>413</v>
      </c>
      <c r="C347" s="170" t="s">
        <v>414</v>
      </c>
      <c r="D347" s="171" t="s">
        <v>415</v>
      </c>
      <c r="E347" s="550" t="s">
        <v>416</v>
      </c>
      <c r="F347" s="171" t="s">
        <v>417</v>
      </c>
      <c r="I347" s="171" t="s">
        <v>416</v>
      </c>
    </row>
    <row r="348" spans="1:9" ht="25.5">
      <c r="A348" s="468" t="s">
        <v>488</v>
      </c>
      <c r="B348" s="166" t="s">
        <v>582</v>
      </c>
      <c r="C348" s="168" t="s">
        <v>433</v>
      </c>
      <c r="D348" s="167">
        <v>0.25</v>
      </c>
      <c r="E348" s="561">
        <v>15.3</v>
      </c>
      <c r="F348" s="10">
        <f>COMPOSIÇÕES!D348*COMPOSIÇÕES!E348</f>
        <v>3.825</v>
      </c>
      <c r="I348" s="167">
        <v>14.83</v>
      </c>
    </row>
    <row r="349" spans="1:9" ht="16.5" thickBot="1">
      <c r="A349" s="25" t="s">
        <v>431</v>
      </c>
      <c r="B349" s="26" t="s">
        <v>432</v>
      </c>
      <c r="C349" s="26" t="s">
        <v>433</v>
      </c>
      <c r="D349" s="27">
        <v>0.25</v>
      </c>
      <c r="E349" s="598">
        <v>11.98</v>
      </c>
      <c r="F349" s="14">
        <f>COMPOSIÇÕES!D349*COMPOSIÇÕES!E349</f>
        <v>2.995</v>
      </c>
      <c r="I349" s="28">
        <v>11.77</v>
      </c>
    </row>
    <row r="350" spans="1:9" ht="26.25" thickBot="1">
      <c r="A350" s="161" t="s">
        <v>466</v>
      </c>
      <c r="B350" s="162" t="s">
        <v>1648</v>
      </c>
      <c r="C350" s="162" t="s">
        <v>1649</v>
      </c>
      <c r="D350" s="163">
        <v>1</v>
      </c>
      <c r="E350" s="569">
        <f>AVERAGE(78.91,74.4)*(1+F468)</f>
        <v>77.4621276084107</v>
      </c>
      <c r="F350" s="165">
        <f>COMPOSIÇÕES!D350*COMPOSIÇÕES!E350</f>
        <v>77.4621276084107</v>
      </c>
      <c r="I350" s="164">
        <f>AVERAGE(78.91,74.4)</f>
        <v>76.655</v>
      </c>
    </row>
    <row r="351" spans="1:9" ht="16.5" thickBot="1">
      <c r="A351" s="662" t="s">
        <v>436</v>
      </c>
      <c r="B351" s="30"/>
      <c r="C351" s="30"/>
      <c r="D351" s="30"/>
      <c r="E351" s="547"/>
      <c r="F351" s="29">
        <f>SUM(COMPOSIÇÕES!F348:F350)</f>
        <v>84.28212760841069</v>
      </c>
      <c r="I351" s="31"/>
    </row>
    <row r="352" spans="1:9" ht="16.5" thickBot="1">
      <c r="A352" s="666"/>
      <c r="B352" s="513"/>
      <c r="C352" s="513"/>
      <c r="D352" s="513"/>
      <c r="E352" s="542"/>
      <c r="F352" s="667"/>
      <c r="I352" s="513"/>
    </row>
    <row r="353" spans="1:9" ht="16.5" thickBot="1">
      <c r="A353" s="662" t="s">
        <v>1656</v>
      </c>
      <c r="B353" s="30"/>
      <c r="C353" s="30"/>
      <c r="D353" s="30"/>
      <c r="E353" s="539"/>
      <c r="F353" s="663"/>
      <c r="I353" s="30"/>
    </row>
    <row r="354" spans="1:9" ht="16.5" customHeight="1" thickBot="1">
      <c r="A354" s="717" t="s">
        <v>1655</v>
      </c>
      <c r="B354" s="718"/>
      <c r="C354" s="718"/>
      <c r="D354" s="718"/>
      <c r="E354" s="718"/>
      <c r="F354" s="719"/>
      <c r="I354" s="520"/>
    </row>
    <row r="355" spans="1:9" ht="16.5" thickBot="1">
      <c r="A355" s="169" t="s">
        <v>412</v>
      </c>
      <c r="B355" s="170" t="s">
        <v>413</v>
      </c>
      <c r="C355" s="170" t="s">
        <v>414</v>
      </c>
      <c r="D355" s="171" t="s">
        <v>415</v>
      </c>
      <c r="E355" s="550" t="s">
        <v>416</v>
      </c>
      <c r="F355" s="171" t="s">
        <v>417</v>
      </c>
      <c r="I355" s="171" t="s">
        <v>416</v>
      </c>
    </row>
    <row r="356" spans="1:9" ht="38.25">
      <c r="A356" s="20" t="s">
        <v>466</v>
      </c>
      <c r="B356" s="21" t="s">
        <v>1657</v>
      </c>
      <c r="C356" s="21" t="s">
        <v>474</v>
      </c>
      <c r="D356" s="22">
        <v>1</v>
      </c>
      <c r="E356" s="551">
        <f>AVERAGE(315.2,268,380)*(1+F468)</f>
        <v>324.44729116353</v>
      </c>
      <c r="F356" s="23">
        <f>COMPOSIÇÕES!D356*COMPOSIÇÕES!E356</f>
        <v>324.44729116353</v>
      </c>
      <c r="I356" s="23">
        <f>AVERAGE(315.2,268,380)</f>
        <v>321.06666666666666</v>
      </c>
    </row>
    <row r="357" spans="1:9" ht="25.5">
      <c r="A357" s="11" t="s">
        <v>468</v>
      </c>
      <c r="B357" s="8" t="s">
        <v>469</v>
      </c>
      <c r="C357" s="8" t="s">
        <v>433</v>
      </c>
      <c r="D357" s="12">
        <v>0.25</v>
      </c>
      <c r="E357" s="595">
        <v>18.31</v>
      </c>
      <c r="F357" s="10">
        <f>COMPOSIÇÕES!D357*COMPOSIÇÕES!E357</f>
        <v>4.5775</v>
      </c>
      <c r="I357" s="10">
        <v>17.72</v>
      </c>
    </row>
    <row r="358" spans="1:9" ht="26.25" thickBot="1">
      <c r="A358" s="11" t="s">
        <v>470</v>
      </c>
      <c r="B358" s="8" t="s">
        <v>471</v>
      </c>
      <c r="C358" s="8" t="s">
        <v>433</v>
      </c>
      <c r="D358" s="12">
        <v>0.25</v>
      </c>
      <c r="E358" s="595">
        <v>14.66</v>
      </c>
      <c r="F358" s="10">
        <f>COMPOSIÇÕES!D358*COMPOSIÇÕES!E358</f>
        <v>3.665</v>
      </c>
      <c r="I358" s="10">
        <v>14.24</v>
      </c>
    </row>
    <row r="359" spans="1:9" ht="16.5" thickBot="1">
      <c r="A359" s="662" t="s">
        <v>436</v>
      </c>
      <c r="B359" s="30"/>
      <c r="C359" s="30"/>
      <c r="D359" s="30"/>
      <c r="E359" s="547"/>
      <c r="F359" s="24">
        <f>SUM(COMPOSIÇÕES!F356:F358)</f>
        <v>332.68979116353</v>
      </c>
      <c r="I359" s="31"/>
    </row>
    <row r="360" spans="1:9" ht="16.5" thickBot="1">
      <c r="A360" s="666"/>
      <c r="B360" s="513"/>
      <c r="C360" s="513"/>
      <c r="D360" s="513"/>
      <c r="E360" s="542"/>
      <c r="F360" s="667"/>
      <c r="I360" s="513"/>
    </row>
    <row r="361" spans="1:9" ht="16.5" thickBot="1">
      <c r="A361" s="662" t="s">
        <v>1662</v>
      </c>
      <c r="B361" s="30"/>
      <c r="C361" s="30"/>
      <c r="D361" s="30"/>
      <c r="E361" s="539"/>
      <c r="F361" s="663"/>
      <c r="I361" s="30"/>
    </row>
    <row r="362" spans="1:9" ht="30" customHeight="1" thickBot="1">
      <c r="A362" s="717" t="s">
        <v>1663</v>
      </c>
      <c r="B362" s="718"/>
      <c r="C362" s="718"/>
      <c r="D362" s="718"/>
      <c r="E362" s="718"/>
      <c r="F362" s="719"/>
      <c r="I362" s="520"/>
    </row>
    <row r="363" spans="1:9" ht="16.5" thickBot="1">
      <c r="A363" s="169" t="s">
        <v>412</v>
      </c>
      <c r="B363" s="170" t="s">
        <v>413</v>
      </c>
      <c r="C363" s="170" t="s">
        <v>414</v>
      </c>
      <c r="D363" s="171" t="s">
        <v>415</v>
      </c>
      <c r="E363" s="550" t="s">
        <v>416</v>
      </c>
      <c r="F363" s="171" t="s">
        <v>417</v>
      </c>
      <c r="I363" s="171" t="s">
        <v>416</v>
      </c>
    </row>
    <row r="364" spans="1:9" ht="51">
      <c r="A364" s="20" t="s">
        <v>1664</v>
      </c>
      <c r="B364" s="21" t="s">
        <v>1661</v>
      </c>
      <c r="C364" s="21" t="s">
        <v>474</v>
      </c>
      <c r="D364" s="22">
        <v>1</v>
      </c>
      <c r="E364" s="570">
        <v>139.89</v>
      </c>
      <c r="F364" s="23">
        <f>COMPOSIÇÕES!D364*COMPOSIÇÕES!E364</f>
        <v>139.89</v>
      </c>
      <c r="I364" s="23">
        <v>140.14</v>
      </c>
    </row>
    <row r="365" spans="1:9" ht="51">
      <c r="A365" s="11" t="s">
        <v>1666</v>
      </c>
      <c r="B365" s="8" t="s">
        <v>1665</v>
      </c>
      <c r="C365" s="8" t="s">
        <v>433</v>
      </c>
      <c r="D365" s="12">
        <v>2</v>
      </c>
      <c r="E365" s="595">
        <v>131.68</v>
      </c>
      <c r="F365" s="10">
        <f>COMPOSIÇÕES!D365*COMPOSIÇÕES!E365</f>
        <v>263.36</v>
      </c>
      <c r="I365" s="10">
        <v>128.32</v>
      </c>
    </row>
    <row r="366" spans="1:9" ht="15.75">
      <c r="A366" s="11" t="s">
        <v>493</v>
      </c>
      <c r="B366" s="8" t="s">
        <v>494</v>
      </c>
      <c r="C366" s="8" t="s">
        <v>433</v>
      </c>
      <c r="D366" s="9">
        <v>0.3</v>
      </c>
      <c r="E366" s="595">
        <v>18.54</v>
      </c>
      <c r="F366" s="10">
        <f>COMPOSIÇÕES!D366*COMPOSIÇÕES!E366</f>
        <v>5.561999999999999</v>
      </c>
      <c r="I366" s="10">
        <v>17.94</v>
      </c>
    </row>
    <row r="367" spans="1:9" ht="26.25" thickBot="1">
      <c r="A367" s="25" t="s">
        <v>495</v>
      </c>
      <c r="B367" s="26" t="s">
        <v>496</v>
      </c>
      <c r="C367" s="26" t="s">
        <v>433</v>
      </c>
      <c r="D367" s="27">
        <v>0.3</v>
      </c>
      <c r="E367" s="598">
        <v>14.83</v>
      </c>
      <c r="F367" s="28">
        <f>COMPOSIÇÕES!D367*COMPOSIÇÕES!E367</f>
        <v>4.449</v>
      </c>
      <c r="I367" s="28">
        <v>14.4</v>
      </c>
    </row>
    <row r="368" spans="1:9" ht="16.5" thickBot="1">
      <c r="A368" s="662" t="s">
        <v>436</v>
      </c>
      <c r="B368" s="30"/>
      <c r="C368" s="30"/>
      <c r="D368" s="30"/>
      <c r="E368" s="547"/>
      <c r="F368" s="24">
        <f>SUM(COMPOSIÇÕES!F364:F367)</f>
        <v>413.261</v>
      </c>
      <c r="I368" s="31"/>
    </row>
    <row r="369" spans="1:9" ht="16.5" thickBot="1">
      <c r="A369" s="666"/>
      <c r="B369" s="513"/>
      <c r="C369" s="513"/>
      <c r="D369" s="513"/>
      <c r="E369" s="542"/>
      <c r="F369" s="667"/>
      <c r="I369" s="513"/>
    </row>
    <row r="370" spans="1:9" ht="16.5" thickBot="1">
      <c r="A370" s="662" t="s">
        <v>1667</v>
      </c>
      <c r="B370" s="30"/>
      <c r="C370" s="30"/>
      <c r="D370" s="30"/>
      <c r="E370" s="539"/>
      <c r="F370" s="663"/>
      <c r="I370" s="30"/>
    </row>
    <row r="371" spans="1:9" ht="16.5" customHeight="1" thickBot="1">
      <c r="A371" s="717" t="s">
        <v>1668</v>
      </c>
      <c r="B371" s="718"/>
      <c r="C371" s="718"/>
      <c r="D371" s="718"/>
      <c r="E371" s="718"/>
      <c r="F371" s="719"/>
      <c r="G371" s="4"/>
      <c r="I371" s="520"/>
    </row>
    <row r="372" spans="1:9" ht="16.5" thickBot="1">
      <c r="A372" s="169" t="s">
        <v>412</v>
      </c>
      <c r="B372" s="170" t="s">
        <v>413</v>
      </c>
      <c r="C372" s="170" t="s">
        <v>414</v>
      </c>
      <c r="D372" s="171" t="s">
        <v>415</v>
      </c>
      <c r="E372" s="550" t="s">
        <v>416</v>
      </c>
      <c r="F372" s="171" t="s">
        <v>417</v>
      </c>
      <c r="G372" s="4"/>
      <c r="I372" s="171" t="s">
        <v>416</v>
      </c>
    </row>
    <row r="373" spans="1:9" ht="25.5">
      <c r="A373" s="20" t="s">
        <v>466</v>
      </c>
      <c r="B373" s="21" t="s">
        <v>1669</v>
      </c>
      <c r="C373" s="21" t="s">
        <v>474</v>
      </c>
      <c r="D373" s="22">
        <v>1</v>
      </c>
      <c r="E373" s="551">
        <f>AVERAGE(0.43,1.5,1)*(1+F468)</f>
        <v>0.9869503354538443</v>
      </c>
      <c r="F373" s="23">
        <f>COMPOSIÇÕES!D373*COMPOSIÇÕES!E373</f>
        <v>0.9869503354538443</v>
      </c>
      <c r="G373" s="4"/>
      <c r="I373" s="23">
        <f>AVERAGE(0.43,1.5,1)</f>
        <v>0.9766666666666666</v>
      </c>
    </row>
    <row r="374" spans="1:9" ht="15.75">
      <c r="A374" s="11" t="s">
        <v>493</v>
      </c>
      <c r="B374" s="8" t="s">
        <v>494</v>
      </c>
      <c r="C374" s="8" t="s">
        <v>433</v>
      </c>
      <c r="D374" s="9">
        <v>0.05</v>
      </c>
      <c r="E374" s="595">
        <v>18.54</v>
      </c>
      <c r="F374" s="10">
        <f>COMPOSIÇÕES!D374*COMPOSIÇÕES!E374</f>
        <v>0.927</v>
      </c>
      <c r="G374" s="4"/>
      <c r="I374" s="10">
        <v>17.94</v>
      </c>
    </row>
    <row r="375" spans="1:9" ht="26.25" thickBot="1">
      <c r="A375" s="25" t="s">
        <v>495</v>
      </c>
      <c r="B375" s="26" t="s">
        <v>496</v>
      </c>
      <c r="C375" s="26" t="s">
        <v>433</v>
      </c>
      <c r="D375" s="27">
        <v>0.05</v>
      </c>
      <c r="E375" s="598">
        <v>14.83</v>
      </c>
      <c r="F375" s="28">
        <f>COMPOSIÇÕES!D375*COMPOSIÇÕES!E375</f>
        <v>0.7415</v>
      </c>
      <c r="I375" s="28">
        <v>14.4</v>
      </c>
    </row>
    <row r="376" spans="1:9" ht="16.5" thickBot="1">
      <c r="A376" s="662" t="s">
        <v>436</v>
      </c>
      <c r="B376" s="30"/>
      <c r="C376" s="30"/>
      <c r="D376" s="30"/>
      <c r="E376" s="547"/>
      <c r="F376" s="24">
        <f>SUM(COMPOSIÇÕES!F373:F375)</f>
        <v>2.6554503354538443</v>
      </c>
      <c r="I376" s="31"/>
    </row>
    <row r="377" spans="1:9" ht="16.5" thickBot="1">
      <c r="A377" s="666"/>
      <c r="B377" s="513"/>
      <c r="C377" s="513"/>
      <c r="D377" s="513"/>
      <c r="E377" s="542"/>
      <c r="F377" s="667"/>
      <c r="I377" s="513"/>
    </row>
    <row r="378" spans="1:9" ht="16.5" thickBot="1">
      <c r="A378" s="662" t="s">
        <v>1687</v>
      </c>
      <c r="B378" s="30"/>
      <c r="C378" s="30"/>
      <c r="D378" s="30"/>
      <c r="E378" s="539"/>
      <c r="F378" s="663"/>
      <c r="I378" s="30"/>
    </row>
    <row r="379" spans="1:9" ht="16.5" customHeight="1" thickBot="1">
      <c r="A379" s="717" t="s">
        <v>1839</v>
      </c>
      <c r="B379" s="718"/>
      <c r="C379" s="718"/>
      <c r="D379" s="718"/>
      <c r="E379" s="718"/>
      <c r="F379" s="719"/>
      <c r="I379" s="520"/>
    </row>
    <row r="380" spans="1:9" ht="16.5" thickBot="1">
      <c r="A380" s="169" t="s">
        <v>412</v>
      </c>
      <c r="B380" s="170" t="s">
        <v>413</v>
      </c>
      <c r="C380" s="170" t="s">
        <v>414</v>
      </c>
      <c r="D380" s="171" t="s">
        <v>415</v>
      </c>
      <c r="E380" s="550" t="s">
        <v>416</v>
      </c>
      <c r="F380" s="171" t="s">
        <v>417</v>
      </c>
      <c r="I380" s="171" t="s">
        <v>416</v>
      </c>
    </row>
    <row r="381" spans="1:9" ht="25.5">
      <c r="A381" s="20" t="s">
        <v>1838</v>
      </c>
      <c r="B381" s="21" t="s">
        <v>1837</v>
      </c>
      <c r="C381" s="21" t="s">
        <v>474</v>
      </c>
      <c r="D381" s="22">
        <v>1</v>
      </c>
      <c r="E381" s="570">
        <v>159</v>
      </c>
      <c r="F381" s="23">
        <f>COMPOSIÇÕES!D381*COMPOSIÇÕES!E381</f>
        <v>159</v>
      </c>
      <c r="I381" s="23">
        <v>69.3</v>
      </c>
    </row>
    <row r="382" spans="1:9" ht="15.75">
      <c r="A382" s="11" t="s">
        <v>488</v>
      </c>
      <c r="B382" s="8" t="s">
        <v>489</v>
      </c>
      <c r="C382" s="8" t="s">
        <v>433</v>
      </c>
      <c r="D382" s="9">
        <v>0.1</v>
      </c>
      <c r="E382" s="595">
        <v>15.3</v>
      </c>
      <c r="F382" s="10">
        <f>COMPOSIÇÕES!D382*COMPOSIÇÕES!E382</f>
        <v>1.5300000000000002</v>
      </c>
      <c r="I382" s="10">
        <v>14.83</v>
      </c>
    </row>
    <row r="383" spans="1:9" ht="16.5" thickBot="1">
      <c r="A383" s="25" t="s">
        <v>431</v>
      </c>
      <c r="B383" s="26" t="s">
        <v>432</v>
      </c>
      <c r="C383" s="26" t="s">
        <v>433</v>
      </c>
      <c r="D383" s="27">
        <v>0.1</v>
      </c>
      <c r="E383" s="598">
        <v>11.98</v>
      </c>
      <c r="F383" s="14">
        <f>COMPOSIÇÕES!D383*COMPOSIÇÕES!E383</f>
        <v>1.1980000000000002</v>
      </c>
      <c r="I383" s="28">
        <v>11.77</v>
      </c>
    </row>
    <row r="384" spans="1:9" ht="16.5" thickBot="1">
      <c r="A384" s="662" t="s">
        <v>436</v>
      </c>
      <c r="B384" s="30"/>
      <c r="C384" s="30"/>
      <c r="D384" s="30"/>
      <c r="E384" s="547"/>
      <c r="F384" s="24">
        <f>SUM(COMPOSIÇÕES!F381:F383)</f>
        <v>161.728</v>
      </c>
      <c r="I384" s="31"/>
    </row>
    <row r="385" spans="1:9" ht="16.5" thickBot="1">
      <c r="A385" s="666"/>
      <c r="B385" s="513"/>
      <c r="C385" s="513"/>
      <c r="D385" s="513"/>
      <c r="E385" s="542"/>
      <c r="F385" s="667"/>
      <c r="I385" s="513"/>
    </row>
    <row r="386" spans="1:9" ht="16.5" thickBot="1">
      <c r="A386" s="662" t="s">
        <v>1763</v>
      </c>
      <c r="B386" s="30"/>
      <c r="C386" s="30"/>
      <c r="D386" s="30"/>
      <c r="E386" s="539"/>
      <c r="F386" s="663"/>
      <c r="I386" s="30"/>
    </row>
    <row r="387" spans="1:9" ht="16.5" customHeight="1" thickBot="1">
      <c r="A387" s="717" t="s">
        <v>1765</v>
      </c>
      <c r="B387" s="718"/>
      <c r="C387" s="718"/>
      <c r="D387" s="718"/>
      <c r="E387" s="718"/>
      <c r="F387" s="719"/>
      <c r="I387" s="520"/>
    </row>
    <row r="388" spans="1:9" ht="16.5" thickBot="1">
      <c r="A388" s="169" t="s">
        <v>412</v>
      </c>
      <c r="B388" s="170" t="s">
        <v>413</v>
      </c>
      <c r="C388" s="170" t="s">
        <v>414</v>
      </c>
      <c r="D388" s="171" t="s">
        <v>415</v>
      </c>
      <c r="E388" s="550" t="s">
        <v>416</v>
      </c>
      <c r="F388" s="171" t="s">
        <v>417</v>
      </c>
      <c r="I388" s="171" t="s">
        <v>416</v>
      </c>
    </row>
    <row r="389" spans="1:9" ht="25.5">
      <c r="A389" s="403" t="s">
        <v>466</v>
      </c>
      <c r="B389" s="404" t="s">
        <v>1766</v>
      </c>
      <c r="C389" s="404" t="s">
        <v>474</v>
      </c>
      <c r="D389" s="405">
        <v>1</v>
      </c>
      <c r="E389" s="570">
        <f>AVERAGE(1.85,1.65,1.95)*(1+F468)</f>
        <v>1.835794992567731</v>
      </c>
      <c r="F389" s="406">
        <f>COMPOSIÇÕES!D389*COMPOSIÇÕES!E389</f>
        <v>1.835794992567731</v>
      </c>
      <c r="I389" s="406">
        <f>AVERAGE(1.85,1.65,1.95)</f>
        <v>1.8166666666666667</v>
      </c>
    </row>
    <row r="390" spans="1:9" ht="15.75">
      <c r="A390" s="11" t="s">
        <v>493</v>
      </c>
      <c r="B390" s="8" t="s">
        <v>494</v>
      </c>
      <c r="C390" s="8" t="s">
        <v>433</v>
      </c>
      <c r="D390" s="9">
        <v>0.075</v>
      </c>
      <c r="E390" s="595">
        <v>18.54</v>
      </c>
      <c r="F390" s="10">
        <f>COMPOSIÇÕES!D390*COMPOSIÇÕES!E390</f>
        <v>1.3904999999999998</v>
      </c>
      <c r="I390" s="10">
        <v>17.94</v>
      </c>
    </row>
    <row r="391" spans="1:9" ht="26.25" thickBot="1">
      <c r="A391" s="25" t="s">
        <v>495</v>
      </c>
      <c r="B391" s="26" t="s">
        <v>496</v>
      </c>
      <c r="C391" s="26" t="s">
        <v>433</v>
      </c>
      <c r="D391" s="27">
        <v>0.075</v>
      </c>
      <c r="E391" s="598">
        <v>14.83</v>
      </c>
      <c r="F391" s="28">
        <f>COMPOSIÇÕES!D391*COMPOSIÇÕES!E391</f>
        <v>1.11225</v>
      </c>
      <c r="I391" s="28">
        <v>14.4</v>
      </c>
    </row>
    <row r="392" spans="1:9" ht="16.5" thickBot="1">
      <c r="A392" s="662" t="s">
        <v>436</v>
      </c>
      <c r="B392" s="30"/>
      <c r="C392" s="30"/>
      <c r="D392" s="30"/>
      <c r="E392" s="547"/>
      <c r="F392" s="24">
        <f>SUM(COMPOSIÇÕES!F389:F391)</f>
        <v>4.338544992567731</v>
      </c>
      <c r="I392" s="31"/>
    </row>
    <row r="393" spans="1:9" ht="16.5" thickBot="1">
      <c r="A393" s="666"/>
      <c r="B393" s="513"/>
      <c r="C393" s="513"/>
      <c r="D393" s="513"/>
      <c r="E393" s="542"/>
      <c r="F393" s="667"/>
      <c r="I393" s="513"/>
    </row>
    <row r="394" spans="1:9" ht="16.5" thickBot="1">
      <c r="A394" s="662" t="s">
        <v>1764</v>
      </c>
      <c r="B394" s="30"/>
      <c r="C394" s="30"/>
      <c r="D394" s="30"/>
      <c r="E394" s="539"/>
      <c r="F394" s="663"/>
      <c r="I394" s="30"/>
    </row>
    <row r="395" spans="1:9" ht="16.5" customHeight="1" thickBot="1">
      <c r="A395" s="717" t="s">
        <v>1767</v>
      </c>
      <c r="B395" s="718"/>
      <c r="C395" s="718"/>
      <c r="D395" s="718"/>
      <c r="E395" s="718"/>
      <c r="F395" s="719"/>
      <c r="I395" s="520"/>
    </row>
    <row r="396" spans="1:9" ht="16.5" thickBot="1">
      <c r="A396" s="169" t="s">
        <v>412</v>
      </c>
      <c r="B396" s="170" t="s">
        <v>413</v>
      </c>
      <c r="C396" s="170" t="s">
        <v>414</v>
      </c>
      <c r="D396" s="171" t="s">
        <v>415</v>
      </c>
      <c r="E396" s="550" t="s">
        <v>416</v>
      </c>
      <c r="F396" s="171" t="s">
        <v>417</v>
      </c>
      <c r="I396" s="171" t="s">
        <v>416</v>
      </c>
    </row>
    <row r="397" spans="1:9" ht="25.5">
      <c r="A397" s="403" t="s">
        <v>466</v>
      </c>
      <c r="B397" s="404" t="s">
        <v>1768</v>
      </c>
      <c r="C397" s="404" t="s">
        <v>474</v>
      </c>
      <c r="D397" s="405">
        <v>1</v>
      </c>
      <c r="E397" s="570">
        <f>AVERAGE(5.65,5,5.9)*(1+F468)</f>
        <v>5.5747536012836605</v>
      </c>
      <c r="F397" s="406">
        <f>COMPOSIÇÕES!D397*COMPOSIÇÕES!E397</f>
        <v>5.5747536012836605</v>
      </c>
      <c r="I397" s="406">
        <f>AVERAGE(5.65,5,5.9)</f>
        <v>5.516666666666667</v>
      </c>
    </row>
    <row r="398" spans="1:9" ht="15.75">
      <c r="A398" s="11" t="s">
        <v>488</v>
      </c>
      <c r="B398" s="8" t="s">
        <v>489</v>
      </c>
      <c r="C398" s="8" t="s">
        <v>433</v>
      </c>
      <c r="D398" s="9">
        <v>0.1</v>
      </c>
      <c r="E398" s="595">
        <v>15.3</v>
      </c>
      <c r="F398" s="10">
        <f>COMPOSIÇÕES!D398*COMPOSIÇÕES!E398</f>
        <v>1.5300000000000002</v>
      </c>
      <c r="I398" s="10">
        <v>14.83</v>
      </c>
    </row>
    <row r="399" spans="1:9" ht="16.5" thickBot="1">
      <c r="A399" s="25" t="s">
        <v>431</v>
      </c>
      <c r="B399" s="26" t="s">
        <v>432</v>
      </c>
      <c r="C399" s="26" t="s">
        <v>433</v>
      </c>
      <c r="D399" s="27">
        <v>0.1</v>
      </c>
      <c r="E399" s="598">
        <v>11.98</v>
      </c>
      <c r="F399" s="14">
        <f>COMPOSIÇÕES!D399*COMPOSIÇÕES!E399</f>
        <v>1.1980000000000002</v>
      </c>
      <c r="I399" s="28">
        <v>11.77</v>
      </c>
    </row>
    <row r="400" spans="1:9" ht="16.5" thickBot="1">
      <c r="A400" s="662" t="s">
        <v>436</v>
      </c>
      <c r="B400" s="30"/>
      <c r="C400" s="30"/>
      <c r="D400" s="30"/>
      <c r="E400" s="547"/>
      <c r="F400" s="24">
        <f>SUM(COMPOSIÇÕES!F397:F399)</f>
        <v>8.30275360128366</v>
      </c>
      <c r="I400" s="31"/>
    </row>
    <row r="401" spans="1:9" ht="16.5" thickBot="1">
      <c r="A401" s="666"/>
      <c r="B401" s="513"/>
      <c r="C401" s="513"/>
      <c r="D401" s="513"/>
      <c r="E401" s="542"/>
      <c r="F401" s="667"/>
      <c r="I401" s="513"/>
    </row>
    <row r="402" spans="1:9" ht="16.5" thickBot="1">
      <c r="A402" s="662" t="s">
        <v>1782</v>
      </c>
      <c r="B402" s="30"/>
      <c r="C402" s="30"/>
      <c r="D402" s="30"/>
      <c r="E402" s="539"/>
      <c r="F402" s="663"/>
      <c r="I402" s="30"/>
    </row>
    <row r="403" spans="1:9" ht="16.5" customHeight="1" thickBot="1">
      <c r="A403" s="717" t="s">
        <v>1785</v>
      </c>
      <c r="B403" s="718"/>
      <c r="C403" s="718"/>
      <c r="D403" s="718"/>
      <c r="E403" s="718"/>
      <c r="F403" s="719"/>
      <c r="I403" s="524"/>
    </row>
    <row r="404" spans="1:9" ht="16.5" thickBot="1">
      <c r="A404" s="173" t="s">
        <v>412</v>
      </c>
      <c r="B404" s="174" t="s">
        <v>413</v>
      </c>
      <c r="C404" s="174" t="s">
        <v>414</v>
      </c>
      <c r="D404" s="175" t="s">
        <v>415</v>
      </c>
      <c r="E404" s="555" t="s">
        <v>416</v>
      </c>
      <c r="F404" s="175" t="s">
        <v>417</v>
      </c>
      <c r="I404" s="175" t="s">
        <v>416</v>
      </c>
    </row>
    <row r="405" spans="1:9" ht="51">
      <c r="A405" s="33" t="s">
        <v>1784</v>
      </c>
      <c r="B405" s="34" t="s">
        <v>1783</v>
      </c>
      <c r="C405" s="34" t="s">
        <v>474</v>
      </c>
      <c r="D405" s="35">
        <v>1</v>
      </c>
      <c r="E405" s="599">
        <v>7.06</v>
      </c>
      <c r="F405" s="36">
        <f>COMPOSIÇÕES!E405*COMPOSIÇÕES!D405</f>
        <v>7.06</v>
      </c>
      <c r="I405" s="36">
        <v>6.17</v>
      </c>
    </row>
    <row r="406" spans="1:9" ht="15.75">
      <c r="A406" s="11" t="s">
        <v>493</v>
      </c>
      <c r="B406" s="8" t="s">
        <v>494</v>
      </c>
      <c r="C406" s="8" t="s">
        <v>433</v>
      </c>
      <c r="D406" s="9">
        <v>0.25</v>
      </c>
      <c r="E406" s="595">
        <v>18.54</v>
      </c>
      <c r="F406" s="10">
        <f>COMPOSIÇÕES!D406*COMPOSIÇÕES!E406</f>
        <v>4.635</v>
      </c>
      <c r="I406" s="10">
        <v>17.94</v>
      </c>
    </row>
    <row r="407" spans="1:9" ht="26.25" thickBot="1">
      <c r="A407" s="25" t="s">
        <v>495</v>
      </c>
      <c r="B407" s="26" t="s">
        <v>496</v>
      </c>
      <c r="C407" s="26" t="s">
        <v>433</v>
      </c>
      <c r="D407" s="27">
        <v>0.25</v>
      </c>
      <c r="E407" s="598">
        <v>14.83</v>
      </c>
      <c r="F407" s="28">
        <f>COMPOSIÇÕES!D407*COMPOSIÇÕES!E407</f>
        <v>3.7075</v>
      </c>
      <c r="I407" s="28">
        <v>14.4</v>
      </c>
    </row>
    <row r="408" spans="1:9" ht="16.5" thickBot="1">
      <c r="A408" s="662" t="s">
        <v>436</v>
      </c>
      <c r="B408" s="30"/>
      <c r="C408" s="30"/>
      <c r="D408" s="30"/>
      <c r="E408" s="547"/>
      <c r="F408" s="37">
        <f>SUM(COMPOSIÇÕES!F405:F407)</f>
        <v>15.4025</v>
      </c>
      <c r="I408" s="31"/>
    </row>
    <row r="409" spans="1:9" ht="16.5" thickBot="1">
      <c r="A409" s="666"/>
      <c r="B409" s="513"/>
      <c r="C409" s="513"/>
      <c r="D409" s="513"/>
      <c r="E409" s="542"/>
      <c r="F409" s="667"/>
      <c r="I409" s="513"/>
    </row>
    <row r="410" spans="1:9" ht="16.5" thickBot="1">
      <c r="A410" s="662" t="s">
        <v>1789</v>
      </c>
      <c r="B410" s="30"/>
      <c r="C410" s="30"/>
      <c r="D410" s="30"/>
      <c r="E410" s="539"/>
      <c r="F410" s="663"/>
      <c r="I410" s="30"/>
    </row>
    <row r="411" spans="1:9" ht="16.5" customHeight="1" thickBot="1">
      <c r="A411" s="717" t="s">
        <v>1790</v>
      </c>
      <c r="B411" s="718"/>
      <c r="C411" s="718"/>
      <c r="D411" s="718"/>
      <c r="E411" s="718"/>
      <c r="F411" s="719"/>
      <c r="I411" s="524"/>
    </row>
    <row r="412" spans="1:9" ht="16.5" thickBot="1">
      <c r="A412" s="173" t="s">
        <v>412</v>
      </c>
      <c r="B412" s="174" t="s">
        <v>413</v>
      </c>
      <c r="C412" s="174" t="s">
        <v>414</v>
      </c>
      <c r="D412" s="175" t="s">
        <v>415</v>
      </c>
      <c r="E412" s="555" t="s">
        <v>416</v>
      </c>
      <c r="F412" s="175" t="s">
        <v>417</v>
      </c>
      <c r="I412" s="175" t="s">
        <v>416</v>
      </c>
    </row>
    <row r="413" spans="1:9" ht="25.5">
      <c r="A413" s="33" t="s">
        <v>1791</v>
      </c>
      <c r="B413" s="34" t="s">
        <v>1792</v>
      </c>
      <c r="C413" s="34" t="s">
        <v>474</v>
      </c>
      <c r="D413" s="35">
        <v>1</v>
      </c>
      <c r="E413" s="599">
        <v>3.04</v>
      </c>
      <c r="F413" s="36">
        <f>COMPOSIÇÕES!E413*COMPOSIÇÕES!D413</f>
        <v>3.04</v>
      </c>
      <c r="I413" s="36">
        <v>1.59</v>
      </c>
    </row>
    <row r="414" spans="1:9" ht="16.5" thickBot="1">
      <c r="A414" s="11" t="s">
        <v>493</v>
      </c>
      <c r="B414" s="8" t="s">
        <v>494</v>
      </c>
      <c r="C414" s="8" t="s">
        <v>433</v>
      </c>
      <c r="D414" s="9">
        <v>0.1</v>
      </c>
      <c r="E414" s="595">
        <v>18.54</v>
      </c>
      <c r="F414" s="10">
        <f>COMPOSIÇÕES!D414*COMPOSIÇÕES!E414</f>
        <v>1.854</v>
      </c>
      <c r="I414" s="10">
        <v>17.94</v>
      </c>
    </row>
    <row r="415" spans="1:9" ht="16.5" thickBot="1">
      <c r="A415" s="662" t="s">
        <v>436</v>
      </c>
      <c r="B415" s="30"/>
      <c r="C415" s="30"/>
      <c r="D415" s="30"/>
      <c r="E415" s="547"/>
      <c r="F415" s="37">
        <f>SUM(COMPOSIÇÕES!F413:F414)</f>
        <v>4.894</v>
      </c>
      <c r="I415" s="31"/>
    </row>
    <row r="416" spans="1:9" ht="16.5" thickBot="1">
      <c r="A416" s="666"/>
      <c r="B416" s="513"/>
      <c r="C416" s="513"/>
      <c r="D416" s="513"/>
      <c r="E416" s="542"/>
      <c r="F416" s="667"/>
      <c r="I416" s="513"/>
    </row>
    <row r="417" spans="1:9" ht="16.5" thickBot="1">
      <c r="A417" s="662" t="s">
        <v>1805</v>
      </c>
      <c r="B417" s="30"/>
      <c r="C417" s="30"/>
      <c r="D417" s="30"/>
      <c r="E417" s="539"/>
      <c r="F417" s="663"/>
      <c r="I417" s="30"/>
    </row>
    <row r="418" spans="1:9" ht="16.5" customHeight="1" thickBot="1">
      <c r="A418" s="717" t="s">
        <v>1806</v>
      </c>
      <c r="B418" s="718"/>
      <c r="C418" s="718"/>
      <c r="D418" s="718"/>
      <c r="E418" s="718"/>
      <c r="F418" s="719"/>
      <c r="I418" s="524"/>
    </row>
    <row r="419" spans="1:9" ht="16.5" thickBot="1">
      <c r="A419" s="173" t="s">
        <v>412</v>
      </c>
      <c r="B419" s="174" t="s">
        <v>413</v>
      </c>
      <c r="C419" s="174" t="s">
        <v>414</v>
      </c>
      <c r="D419" s="175" t="s">
        <v>415</v>
      </c>
      <c r="E419" s="555" t="s">
        <v>416</v>
      </c>
      <c r="F419" s="175" t="s">
        <v>417</v>
      </c>
      <c r="I419" s="175" t="s">
        <v>416</v>
      </c>
    </row>
    <row r="420" spans="1:9" ht="25.5">
      <c r="A420" s="33" t="s">
        <v>466</v>
      </c>
      <c r="B420" s="34" t="s">
        <v>1808</v>
      </c>
      <c r="C420" s="34" t="s">
        <v>474</v>
      </c>
      <c r="D420" s="35">
        <v>1</v>
      </c>
      <c r="E420" s="599">
        <f>AVERAGE(1.15,1.2)*(1+F468)</f>
        <v>1.187371990605734</v>
      </c>
      <c r="F420" s="36">
        <f>COMPOSIÇÕES!E420*COMPOSIÇÕES!D420</f>
        <v>1.187371990605734</v>
      </c>
      <c r="I420" s="36">
        <f>AVERAGE(1.15,1.2)</f>
        <v>1.1749999999999998</v>
      </c>
    </row>
    <row r="421" spans="1:9" ht="16.5" thickBot="1">
      <c r="A421" s="11" t="s">
        <v>493</v>
      </c>
      <c r="B421" s="8" t="s">
        <v>494</v>
      </c>
      <c r="C421" s="8" t="s">
        <v>433</v>
      </c>
      <c r="D421" s="9">
        <v>0.1</v>
      </c>
      <c r="E421" s="595">
        <v>18.54</v>
      </c>
      <c r="F421" s="10">
        <f>COMPOSIÇÕES!D421*COMPOSIÇÕES!E421</f>
        <v>1.854</v>
      </c>
      <c r="I421" s="10">
        <v>17.94</v>
      </c>
    </row>
    <row r="422" spans="1:9" ht="16.5" thickBot="1">
      <c r="A422" s="662" t="s">
        <v>436</v>
      </c>
      <c r="B422" s="30"/>
      <c r="C422" s="30"/>
      <c r="D422" s="30"/>
      <c r="E422" s="602"/>
      <c r="F422" s="37">
        <f>SUM(COMPOSIÇÕES!F420:F421)</f>
        <v>3.041371990605734</v>
      </c>
      <c r="I422" s="31"/>
    </row>
    <row r="423" spans="1:9" ht="16.5" thickBot="1">
      <c r="A423" s="666"/>
      <c r="B423" s="513"/>
      <c r="C423" s="513"/>
      <c r="D423" s="513"/>
      <c r="E423" s="542"/>
      <c r="F423" s="667"/>
      <c r="I423" s="513"/>
    </row>
    <row r="424" spans="1:9" ht="16.5" thickBot="1">
      <c r="A424" s="662" t="s">
        <v>1807</v>
      </c>
      <c r="B424" s="30"/>
      <c r="C424" s="30"/>
      <c r="D424" s="30"/>
      <c r="E424" s="539"/>
      <c r="F424" s="663"/>
      <c r="I424" s="30"/>
    </row>
    <row r="425" spans="1:9" ht="16.5" customHeight="1" thickBot="1">
      <c r="A425" s="717" t="s">
        <v>1809</v>
      </c>
      <c r="B425" s="718"/>
      <c r="C425" s="718"/>
      <c r="D425" s="718"/>
      <c r="E425" s="718"/>
      <c r="F425" s="719"/>
      <c r="I425" s="524"/>
    </row>
    <row r="426" spans="1:9" ht="16.5" thickBot="1">
      <c r="A426" s="173" t="s">
        <v>412</v>
      </c>
      <c r="B426" s="174" t="s">
        <v>413</v>
      </c>
      <c r="C426" s="174" t="s">
        <v>414</v>
      </c>
      <c r="D426" s="175" t="s">
        <v>415</v>
      </c>
      <c r="E426" s="555" t="s">
        <v>416</v>
      </c>
      <c r="F426" s="175" t="s">
        <v>417</v>
      </c>
      <c r="I426" s="175" t="s">
        <v>416</v>
      </c>
    </row>
    <row r="427" spans="1:9" ht="25.5">
      <c r="A427" s="33" t="s">
        <v>466</v>
      </c>
      <c r="B427" s="34" t="s">
        <v>1810</v>
      </c>
      <c r="C427" s="34" t="s">
        <v>474</v>
      </c>
      <c r="D427" s="35">
        <v>1</v>
      </c>
      <c r="E427" s="595">
        <f>(AVERAGE(3.85,3.9))*(1+F468)</f>
        <v>3.915801245614656</v>
      </c>
      <c r="F427" s="36">
        <f>COMPOSIÇÕES!E427*COMPOSIÇÕES!D427</f>
        <v>3.915801245614656</v>
      </c>
      <c r="I427" s="36">
        <f>AVERAGE(3.85,3.9)</f>
        <v>3.875</v>
      </c>
    </row>
    <row r="428" spans="1:9" ht="15.75">
      <c r="A428" s="11" t="s">
        <v>493</v>
      </c>
      <c r="B428" s="8" t="s">
        <v>494</v>
      </c>
      <c r="C428" s="8" t="s">
        <v>433</v>
      </c>
      <c r="D428" s="9">
        <v>0.05</v>
      </c>
      <c r="E428" s="595">
        <v>18.54</v>
      </c>
      <c r="F428" s="10">
        <f>COMPOSIÇÕES!D428*COMPOSIÇÕES!E428</f>
        <v>0.927</v>
      </c>
      <c r="I428" s="10">
        <v>17.94</v>
      </c>
    </row>
    <row r="429" spans="1:9" ht="26.25" thickBot="1">
      <c r="A429" s="25" t="s">
        <v>495</v>
      </c>
      <c r="B429" s="26" t="s">
        <v>496</v>
      </c>
      <c r="C429" s="26" t="s">
        <v>433</v>
      </c>
      <c r="D429" s="27">
        <v>0.05</v>
      </c>
      <c r="E429" s="598">
        <v>14.83</v>
      </c>
      <c r="F429" s="28">
        <f>COMPOSIÇÕES!D429*COMPOSIÇÕES!E429</f>
        <v>0.7415</v>
      </c>
      <c r="I429" s="28">
        <v>14.4</v>
      </c>
    </row>
    <row r="430" spans="1:9" ht="16.5" thickBot="1">
      <c r="A430" s="662" t="s">
        <v>436</v>
      </c>
      <c r="B430" s="30"/>
      <c r="C430" s="30"/>
      <c r="D430" s="30"/>
      <c r="E430" s="547"/>
      <c r="F430" s="37">
        <f>SUM(COMPOSIÇÕES!F427:F429)</f>
        <v>5.584301245614656</v>
      </c>
      <c r="I430" s="31"/>
    </row>
    <row r="431" spans="1:9" ht="16.5" thickBot="1">
      <c r="A431" s="666"/>
      <c r="B431" s="513"/>
      <c r="C431" s="513"/>
      <c r="D431" s="513"/>
      <c r="E431" s="542"/>
      <c r="F431" s="667"/>
      <c r="I431" s="513"/>
    </row>
    <row r="432" spans="1:9" ht="16.5" thickBot="1">
      <c r="A432" s="662" t="s">
        <v>1811</v>
      </c>
      <c r="B432" s="30"/>
      <c r="C432" s="30"/>
      <c r="D432" s="30"/>
      <c r="E432" s="539"/>
      <c r="F432" s="663"/>
      <c r="I432" s="30"/>
    </row>
    <row r="433" spans="1:9" ht="16.5" customHeight="1" thickBot="1">
      <c r="A433" s="717" t="s">
        <v>1812</v>
      </c>
      <c r="B433" s="718"/>
      <c r="C433" s="718"/>
      <c r="D433" s="718"/>
      <c r="E433" s="718"/>
      <c r="F433" s="719"/>
      <c r="I433" s="524"/>
    </row>
    <row r="434" spans="1:9" ht="16.5" thickBot="1">
      <c r="A434" s="173" t="s">
        <v>412</v>
      </c>
      <c r="B434" s="174" t="s">
        <v>413</v>
      </c>
      <c r="C434" s="174" t="s">
        <v>414</v>
      </c>
      <c r="D434" s="175" t="s">
        <v>415</v>
      </c>
      <c r="E434" s="555" t="s">
        <v>416</v>
      </c>
      <c r="F434" s="175" t="s">
        <v>417</v>
      </c>
      <c r="I434" s="175" t="s">
        <v>416</v>
      </c>
    </row>
    <row r="435" spans="1:9" ht="25.5">
      <c r="A435" s="33" t="s">
        <v>466</v>
      </c>
      <c r="B435" s="34" t="s">
        <v>1813</v>
      </c>
      <c r="C435" s="34" t="s">
        <v>474</v>
      </c>
      <c r="D435" s="35">
        <v>1</v>
      </c>
      <c r="E435" s="595">
        <f>(AVERAGE(2.95,3))*(1+F468)</f>
        <v>3.0063248272783487</v>
      </c>
      <c r="F435" s="36">
        <f>COMPOSIÇÕES!E435*COMPOSIÇÕES!D435</f>
        <v>3.0063248272783487</v>
      </c>
      <c r="I435" s="36">
        <f>AVERAGE(2.95,3)</f>
        <v>2.975</v>
      </c>
    </row>
    <row r="436" spans="1:9" ht="16.5" thickBot="1">
      <c r="A436" s="11" t="s">
        <v>493</v>
      </c>
      <c r="B436" s="8" t="s">
        <v>494</v>
      </c>
      <c r="C436" s="8" t="s">
        <v>433</v>
      </c>
      <c r="D436" s="9">
        <v>0.1</v>
      </c>
      <c r="E436" s="595">
        <v>18.54</v>
      </c>
      <c r="F436" s="10">
        <f>COMPOSIÇÕES!D436*COMPOSIÇÕES!E436</f>
        <v>1.854</v>
      </c>
      <c r="I436" s="10">
        <v>17.94</v>
      </c>
    </row>
    <row r="437" spans="1:9" ht="16.5" thickBot="1">
      <c r="A437" s="662" t="s">
        <v>436</v>
      </c>
      <c r="B437" s="30"/>
      <c r="C437" s="30"/>
      <c r="D437" s="30"/>
      <c r="E437" s="547"/>
      <c r="F437" s="37">
        <f>SUM(COMPOSIÇÕES!F435:F436)</f>
        <v>4.860324827278349</v>
      </c>
      <c r="I437" s="31"/>
    </row>
    <row r="438" spans="1:9" ht="16.5" thickBot="1">
      <c r="A438" s="666"/>
      <c r="B438" s="513"/>
      <c r="C438" s="513"/>
      <c r="D438" s="513"/>
      <c r="E438" s="542"/>
      <c r="F438" s="667"/>
      <c r="I438" s="513"/>
    </row>
    <row r="439" spans="1:9" ht="16.5" thickBot="1">
      <c r="A439" s="684" t="s">
        <v>1834</v>
      </c>
      <c r="B439" s="533"/>
      <c r="C439" s="533"/>
      <c r="D439" s="533"/>
      <c r="E439" s="571"/>
      <c r="F439" s="685"/>
      <c r="I439" s="6"/>
    </row>
    <row r="440" spans="1:9" ht="16.5" customHeight="1" thickBot="1">
      <c r="A440" s="717" t="s">
        <v>1819</v>
      </c>
      <c r="B440" s="718"/>
      <c r="C440" s="718"/>
      <c r="D440" s="718"/>
      <c r="E440" s="718"/>
      <c r="F440" s="719"/>
      <c r="I440" s="524"/>
    </row>
    <row r="441" spans="1:9" ht="16.5" customHeight="1" thickBot="1">
      <c r="A441" s="173" t="s">
        <v>412</v>
      </c>
      <c r="B441" s="174" t="s">
        <v>413</v>
      </c>
      <c r="C441" s="174" t="s">
        <v>414</v>
      </c>
      <c r="D441" s="175" t="s">
        <v>415</v>
      </c>
      <c r="E441" s="555" t="s">
        <v>416</v>
      </c>
      <c r="F441" s="175" t="s">
        <v>417</v>
      </c>
      <c r="I441" s="574"/>
    </row>
    <row r="442" spans="1:9" ht="39" thickBot="1">
      <c r="A442" s="34" t="s">
        <v>1830</v>
      </c>
      <c r="B442" s="34" t="s">
        <v>574</v>
      </c>
      <c r="C442" s="35" t="s">
        <v>562</v>
      </c>
      <c r="D442" s="567">
        <v>0.1</v>
      </c>
      <c r="E442" s="603">
        <v>6.47</v>
      </c>
      <c r="F442" s="36">
        <f>E442*D442</f>
        <v>0.647</v>
      </c>
      <c r="H442" s="36"/>
      <c r="I442" s="1"/>
    </row>
    <row r="443" spans="1:9" ht="39" thickBot="1">
      <c r="A443" s="34" t="s">
        <v>1831</v>
      </c>
      <c r="B443" s="34" t="s">
        <v>1820</v>
      </c>
      <c r="C443" s="35" t="s">
        <v>1821</v>
      </c>
      <c r="D443" s="567">
        <v>0.275</v>
      </c>
      <c r="E443" s="603">
        <v>7.28</v>
      </c>
      <c r="F443" s="36">
        <f aca="true" t="shared" si="1" ref="F443:F448">E443*D443</f>
        <v>2.0020000000000002</v>
      </c>
      <c r="H443" s="36"/>
      <c r="I443" s="1"/>
    </row>
    <row r="444" spans="1:9" ht="39" thickBot="1">
      <c r="A444" s="34" t="s">
        <v>1832</v>
      </c>
      <c r="B444" s="34" t="s">
        <v>1822</v>
      </c>
      <c r="C444" s="35" t="s">
        <v>1821</v>
      </c>
      <c r="D444" s="567">
        <v>0.24</v>
      </c>
      <c r="E444" s="603">
        <v>2.3</v>
      </c>
      <c r="F444" s="36">
        <f t="shared" si="1"/>
        <v>0.5519999999999999</v>
      </c>
      <c r="H444" s="36"/>
      <c r="I444" s="1"/>
    </row>
    <row r="445" spans="1:9" ht="26.25" thickBot="1">
      <c r="A445" s="34" t="s">
        <v>1833</v>
      </c>
      <c r="B445" s="34" t="s">
        <v>1823</v>
      </c>
      <c r="C445" s="35" t="s">
        <v>571</v>
      </c>
      <c r="D445" s="567">
        <v>0.15</v>
      </c>
      <c r="E445" s="603">
        <v>9.95</v>
      </c>
      <c r="F445" s="36">
        <f t="shared" si="1"/>
        <v>1.4925</v>
      </c>
      <c r="H445" s="36"/>
      <c r="I445" s="1"/>
    </row>
    <row r="446" spans="1:9" ht="39" thickBot="1">
      <c r="A446" s="34" t="s">
        <v>1829</v>
      </c>
      <c r="B446" s="34" t="s">
        <v>1824</v>
      </c>
      <c r="C446" s="35" t="s">
        <v>1821</v>
      </c>
      <c r="D446" s="567">
        <v>0.792</v>
      </c>
      <c r="E446" s="603">
        <v>10.08</v>
      </c>
      <c r="F446" s="36">
        <f t="shared" si="1"/>
        <v>7.98336</v>
      </c>
      <c r="H446" s="36"/>
      <c r="I446" s="1"/>
    </row>
    <row r="447" spans="1:9" ht="26.25" thickBot="1">
      <c r="A447" s="34" t="s">
        <v>1828</v>
      </c>
      <c r="B447" s="34" t="s">
        <v>1825</v>
      </c>
      <c r="C447" s="35" t="s">
        <v>568</v>
      </c>
      <c r="D447" s="567">
        <v>0.225</v>
      </c>
      <c r="E447" s="603">
        <v>12.36</v>
      </c>
      <c r="F447" s="36">
        <f t="shared" si="1"/>
        <v>2.781</v>
      </c>
      <c r="H447" s="36"/>
      <c r="I447" s="1"/>
    </row>
    <row r="448" spans="1:9" ht="26.25" thickBot="1">
      <c r="A448" s="34" t="s">
        <v>1827</v>
      </c>
      <c r="B448" s="34" t="s">
        <v>1826</v>
      </c>
      <c r="C448" s="35" t="s">
        <v>568</v>
      </c>
      <c r="D448" s="567">
        <v>0.9</v>
      </c>
      <c r="E448" s="603">
        <v>15.21</v>
      </c>
      <c r="F448" s="36">
        <f t="shared" si="1"/>
        <v>13.689000000000002</v>
      </c>
      <c r="H448" s="36"/>
      <c r="I448" s="1"/>
    </row>
    <row r="449" spans="1:9" ht="16.5" thickBot="1">
      <c r="A449" s="662" t="s">
        <v>436</v>
      </c>
      <c r="B449" s="30"/>
      <c r="C449" s="30"/>
      <c r="D449" s="30"/>
      <c r="E449" s="547"/>
      <c r="F449" s="37">
        <f>SUM(COMPOSIÇÕES!F442:F448)</f>
        <v>29.146860000000004</v>
      </c>
      <c r="I449" s="31"/>
    </row>
    <row r="450" spans="1:9" ht="16.5" thickBot="1">
      <c r="A450" s="666" t="s">
        <v>1858</v>
      </c>
      <c r="B450" s="513"/>
      <c r="C450" s="513"/>
      <c r="D450" s="513"/>
      <c r="E450" s="542"/>
      <c r="F450" s="667"/>
      <c r="I450" s="513"/>
    </row>
    <row r="451" spans="1:6" ht="15.75">
      <c r="A451" s="652" t="s">
        <v>1857</v>
      </c>
      <c r="F451" s="654"/>
    </row>
    <row r="452" spans="1:6" ht="15.75">
      <c r="A452" s="652"/>
      <c r="F452" s="654"/>
    </row>
    <row r="453" spans="1:6" ht="15.75">
      <c r="A453" s="652"/>
      <c r="F453" s="654"/>
    </row>
    <row r="454" spans="1:6" ht="15.75">
      <c r="A454" s="652"/>
      <c r="F454" s="654"/>
    </row>
    <row r="455" spans="1:6" ht="15.75">
      <c r="A455" s="711" t="s">
        <v>404</v>
      </c>
      <c r="B455" s="712"/>
      <c r="C455" s="712"/>
      <c r="D455" s="712"/>
      <c r="E455" s="712"/>
      <c r="F455" s="723"/>
    </row>
    <row r="456" spans="1:6" ht="15.75">
      <c r="A456" s="711" t="s">
        <v>523</v>
      </c>
      <c r="B456" s="712"/>
      <c r="C456" s="712"/>
      <c r="D456" s="712"/>
      <c r="E456" s="712"/>
      <c r="F456" s="723"/>
    </row>
    <row r="457" spans="1:9" ht="15.75">
      <c r="A457" s="711" t="s">
        <v>406</v>
      </c>
      <c r="B457" s="712"/>
      <c r="C457" s="712"/>
      <c r="D457" s="712"/>
      <c r="E457" s="712"/>
      <c r="F457" s="723"/>
      <c r="I457" s="4"/>
    </row>
    <row r="458" spans="1:9" ht="15.75">
      <c r="A458" s="711" t="s">
        <v>407</v>
      </c>
      <c r="B458" s="712"/>
      <c r="C458" s="712"/>
      <c r="D458" s="712"/>
      <c r="E458" s="712"/>
      <c r="F458" s="723"/>
      <c r="I458" s="4"/>
    </row>
    <row r="459" spans="1:9" ht="15.75">
      <c r="A459" s="711" t="s">
        <v>408</v>
      </c>
      <c r="B459" s="712"/>
      <c r="C459" s="712"/>
      <c r="D459" s="712"/>
      <c r="E459" s="712"/>
      <c r="F459" s="723"/>
      <c r="I459" s="4"/>
    </row>
    <row r="460" spans="1:9" ht="15.75">
      <c r="A460" s="686"/>
      <c r="B460" s="657"/>
      <c r="C460" s="657"/>
      <c r="D460" s="657"/>
      <c r="E460" s="687"/>
      <c r="F460" s="658"/>
      <c r="I460" s="4"/>
    </row>
    <row r="461" spans="2:9" ht="15.75">
      <c r="B461" s="4"/>
      <c r="C461" s="4"/>
      <c r="D461" s="4"/>
      <c r="E461" s="572"/>
      <c r="F461" s="4"/>
      <c r="I461" s="4"/>
    </row>
    <row r="465" spans="1:5" ht="89.25">
      <c r="A465" s="720" t="s">
        <v>1840</v>
      </c>
      <c r="B465" s="575" t="s">
        <v>1841</v>
      </c>
      <c r="C465" s="575" t="s">
        <v>1843</v>
      </c>
      <c r="D465" s="575" t="s">
        <v>1845</v>
      </c>
      <c r="E465" s="575" t="s">
        <v>1846</v>
      </c>
    </row>
    <row r="466" spans="1:5" ht="25.5">
      <c r="A466" s="721"/>
      <c r="B466" s="576" t="s">
        <v>1842</v>
      </c>
      <c r="C466" s="576" t="s">
        <v>1844</v>
      </c>
      <c r="D466" s="576" t="s">
        <v>1842</v>
      </c>
      <c r="E466" s="576" t="s">
        <v>1847</v>
      </c>
    </row>
    <row r="467" spans="1:5" ht="15.75">
      <c r="A467" s="722"/>
      <c r="B467" s="577"/>
      <c r="C467" s="577"/>
      <c r="D467" s="577"/>
      <c r="E467" s="578" t="s">
        <v>1848</v>
      </c>
    </row>
    <row r="468" spans="1:6" ht="15.75">
      <c r="A468" s="579">
        <v>43101</v>
      </c>
      <c r="B468" s="580">
        <v>0.31</v>
      </c>
      <c r="C468" s="580">
        <v>0.31</v>
      </c>
      <c r="D468" s="580">
        <v>4.1424</v>
      </c>
      <c r="E468" s="581">
        <v>2075.5215</v>
      </c>
      <c r="F468" s="336">
        <f>(E468-E473)/E468</f>
        <v>0.010529353707007909</v>
      </c>
    </row>
    <row r="469" spans="1:5" ht="15.75">
      <c r="A469" s="579">
        <v>43070</v>
      </c>
      <c r="B469" s="580">
        <v>0.07</v>
      </c>
      <c r="C469" s="580">
        <v>4.2462</v>
      </c>
      <c r="D469" s="580">
        <v>4.2462</v>
      </c>
      <c r="E469" s="581">
        <v>2069.1073</v>
      </c>
    </row>
    <row r="470" spans="1:5" ht="15.75">
      <c r="A470" s="579">
        <v>43040</v>
      </c>
      <c r="B470" s="580">
        <v>0.31</v>
      </c>
      <c r="C470" s="580">
        <v>4.1733</v>
      </c>
      <c r="D470" s="580">
        <v>4.5379</v>
      </c>
      <c r="E470" s="581">
        <v>2067.6599</v>
      </c>
    </row>
    <row r="471" spans="1:5" ht="15.75">
      <c r="A471" s="579">
        <v>43009</v>
      </c>
      <c r="B471" s="580">
        <v>0.31</v>
      </c>
      <c r="C471" s="580">
        <v>3.8514</v>
      </c>
      <c r="D471" s="580">
        <v>4.3816</v>
      </c>
      <c r="E471" s="581">
        <v>2061.27</v>
      </c>
    </row>
    <row r="472" spans="1:5" ht="15.75">
      <c r="A472" s="579">
        <v>42979</v>
      </c>
      <c r="B472" s="580">
        <v>0.06</v>
      </c>
      <c r="C472" s="580">
        <v>3.5304</v>
      </c>
      <c r="D472" s="580">
        <v>4.2775</v>
      </c>
      <c r="E472" s="581">
        <v>2054.8998</v>
      </c>
    </row>
    <row r="473" spans="1:5" ht="15.75">
      <c r="A473" s="579">
        <v>42948</v>
      </c>
      <c r="B473" s="580">
        <v>0.36</v>
      </c>
      <c r="C473" s="580">
        <v>3.4684</v>
      </c>
      <c r="D473" s="580">
        <v>4.5589</v>
      </c>
      <c r="E473" s="581">
        <v>2053.6676</v>
      </c>
    </row>
  </sheetData>
  <sheetProtection/>
  <mergeCells count="63">
    <mergeCell ref="A238:F238"/>
    <mergeCell ref="A246:F246"/>
    <mergeCell ref="B1:F1"/>
    <mergeCell ref="B2:F2"/>
    <mergeCell ref="B3:F3"/>
    <mergeCell ref="B4:F4"/>
    <mergeCell ref="A5:F5"/>
    <mergeCell ref="A6:F6"/>
    <mergeCell ref="A7:F7"/>
    <mergeCell ref="A8:F8"/>
    <mergeCell ref="A9:F9"/>
    <mergeCell ref="A455:F455"/>
    <mergeCell ref="A137:F137"/>
    <mergeCell ref="A148:F148"/>
    <mergeCell ref="A159:F159"/>
    <mergeCell ref="A170:F170"/>
    <mergeCell ref="A181:F181"/>
    <mergeCell ref="A113:F113"/>
    <mergeCell ref="A121:F121"/>
    <mergeCell ref="A129:F129"/>
    <mergeCell ref="A456:F456"/>
    <mergeCell ref="A457:F457"/>
    <mergeCell ref="A458:F458"/>
    <mergeCell ref="A189:F189"/>
    <mergeCell ref="A198:F198"/>
    <mergeCell ref="A209:F209"/>
    <mergeCell ref="A224:F224"/>
    <mergeCell ref="A66:F66"/>
    <mergeCell ref="A74:F74"/>
    <mergeCell ref="A82:F82"/>
    <mergeCell ref="A90:F90"/>
    <mergeCell ref="A98:F98"/>
    <mergeCell ref="A105:F105"/>
    <mergeCell ref="A13:F13"/>
    <mergeCell ref="A26:F26"/>
    <mergeCell ref="A36:F36"/>
    <mergeCell ref="A42:F42"/>
    <mergeCell ref="A50:F50"/>
    <mergeCell ref="A57:F57"/>
    <mergeCell ref="A253:F253"/>
    <mergeCell ref="A260:F260"/>
    <mergeCell ref="A270:F270"/>
    <mergeCell ref="A287:F287"/>
    <mergeCell ref="A298:F298"/>
    <mergeCell ref="A465:A467"/>
    <mergeCell ref="A459:F459"/>
    <mergeCell ref="A354:F354"/>
    <mergeCell ref="A362:F362"/>
    <mergeCell ref="A371:F371"/>
    <mergeCell ref="A379:F379"/>
    <mergeCell ref="A387:F387"/>
    <mergeCell ref="A310:F310"/>
    <mergeCell ref="A319:F319"/>
    <mergeCell ref="A328:F328"/>
    <mergeCell ref="A337:F337"/>
    <mergeCell ref="A346:F346"/>
    <mergeCell ref="A433:F433"/>
    <mergeCell ref="A440:F440"/>
    <mergeCell ref="A395:F395"/>
    <mergeCell ref="A403:F403"/>
    <mergeCell ref="A411:F411"/>
    <mergeCell ref="A418:F418"/>
    <mergeCell ref="A425:F425"/>
  </mergeCells>
  <printOptions/>
  <pageMargins left="0.75" right="0.75" top="1" bottom="1" header="0.511805555555555" footer="0.5"/>
  <pageSetup fitToHeight="0" fitToWidth="1" horizontalDpi="600" verticalDpi="600" orientation="portrait" paperSize="9" scale="89" r:id="rId2"/>
  <headerFooter>
    <oddFooter>&amp;L&amp;"Arial,Normal"	&amp;P</oddFooter>
  </headerFooter>
  <rowBreaks count="2" manualBreakCount="2">
    <brk id="30" max="5" man="1"/>
    <brk id="329" max="5" man="1"/>
  </rowBreaks>
  <drawing r:id="rId1"/>
</worksheet>
</file>

<file path=xl/worksheets/sheet3.xml><?xml version="1.0" encoding="utf-8"?>
<worksheet xmlns="http://schemas.openxmlformats.org/spreadsheetml/2006/main" xmlns:r="http://schemas.openxmlformats.org/officeDocument/2006/relationships">
  <dimension ref="A1:G471"/>
  <sheetViews>
    <sheetView showGridLines="0" view="pageBreakPreview" zoomScale="89" zoomScaleSheetLayoutView="89" zoomScalePageLayoutView="89" workbookViewId="0" topLeftCell="A1">
      <selection activeCell="A1" sqref="A1"/>
    </sheetView>
  </sheetViews>
  <sheetFormatPr defaultColWidth="6.59765625" defaultRowHeight="15"/>
  <cols>
    <col min="1" max="1" width="6.59765625" style="74" customWidth="1"/>
    <col min="2" max="2" width="48.59765625" style="74" customWidth="1"/>
    <col min="3" max="4" width="6.59765625" style="74" customWidth="1"/>
    <col min="5" max="5" width="13.3984375" style="74" customWidth="1"/>
    <col min="6" max="6" width="8.3984375" style="74" customWidth="1"/>
    <col min="7" max="7" width="11" style="74" customWidth="1"/>
    <col min="8" max="16384" width="6.59765625" style="74" customWidth="1"/>
  </cols>
  <sheetData>
    <row r="1" spans="1:7" ht="25.5" customHeight="1">
      <c r="A1" s="75" t="s">
        <v>6</v>
      </c>
      <c r="B1" s="76" t="s">
        <v>8</v>
      </c>
      <c r="C1" s="76" t="s">
        <v>9</v>
      </c>
      <c r="D1" s="76" t="s">
        <v>640</v>
      </c>
      <c r="E1" s="76" t="s">
        <v>7</v>
      </c>
      <c r="F1" s="77" t="s">
        <v>641</v>
      </c>
      <c r="G1" s="78" t="s">
        <v>12</v>
      </c>
    </row>
    <row r="2" spans="1:7" ht="15.75" customHeight="1">
      <c r="A2" s="75" t="s">
        <v>13</v>
      </c>
      <c r="B2" s="736" t="s">
        <v>642</v>
      </c>
      <c r="C2" s="736"/>
      <c r="D2" s="736"/>
      <c r="E2" s="736"/>
      <c r="F2" s="736"/>
      <c r="G2" s="736"/>
    </row>
    <row r="3" spans="1:7" ht="15" customHeight="1">
      <c r="A3" s="75" t="s">
        <v>15</v>
      </c>
      <c r="B3" s="79" t="s">
        <v>643</v>
      </c>
      <c r="C3" s="80" t="s">
        <v>26</v>
      </c>
      <c r="D3" s="80">
        <v>2</v>
      </c>
      <c r="E3" s="80" t="s">
        <v>644</v>
      </c>
      <c r="F3" s="81">
        <v>200.06</v>
      </c>
      <c r="G3" s="82">
        <f>Plan1!D3*Plan1!F3</f>
        <v>400.12</v>
      </c>
    </row>
    <row r="4" spans="1:7" ht="15" customHeight="1">
      <c r="A4" s="75" t="s">
        <v>645</v>
      </c>
      <c r="B4" s="79" t="s">
        <v>646</v>
      </c>
      <c r="C4" s="80" t="s">
        <v>647</v>
      </c>
      <c r="D4" s="80">
        <v>1</v>
      </c>
      <c r="E4" s="83" t="s">
        <v>648</v>
      </c>
      <c r="F4" s="84">
        <v>3556.37</v>
      </c>
      <c r="G4" s="82">
        <f>Plan1!D4*Plan1!F4</f>
        <v>3556.37</v>
      </c>
    </row>
    <row r="5" spans="1:7" ht="15" customHeight="1">
      <c r="A5" s="75" t="s">
        <v>649</v>
      </c>
      <c r="B5" s="79" t="s">
        <v>650</v>
      </c>
      <c r="C5" s="80" t="s">
        <v>647</v>
      </c>
      <c r="D5" s="80">
        <v>1</v>
      </c>
      <c r="E5" s="83" t="s">
        <v>651</v>
      </c>
      <c r="F5" s="81">
        <v>2489.46</v>
      </c>
      <c r="G5" s="82">
        <f>Plan1!D5*Plan1!F5</f>
        <v>2489.46</v>
      </c>
    </row>
    <row r="6" spans="1:7" ht="15" customHeight="1">
      <c r="A6" s="75" t="s">
        <v>652</v>
      </c>
      <c r="B6" s="79" t="s">
        <v>653</v>
      </c>
      <c r="C6" s="80" t="s">
        <v>433</v>
      </c>
      <c r="D6" s="80">
        <f>24*8</f>
        <v>192</v>
      </c>
      <c r="E6" s="83" t="s">
        <v>654</v>
      </c>
      <c r="F6" s="81">
        <v>103.12</v>
      </c>
      <c r="G6" s="82">
        <f>Plan1!D6*Plan1!F6</f>
        <v>19799.04</v>
      </c>
    </row>
    <row r="7" spans="1:7" ht="15" customHeight="1">
      <c r="A7" s="75" t="s">
        <v>655</v>
      </c>
      <c r="B7" s="79" t="s">
        <v>656</v>
      </c>
      <c r="C7" s="80" t="s">
        <v>433</v>
      </c>
      <c r="D7" s="80">
        <f>160*8</f>
        <v>1280</v>
      </c>
      <c r="E7" s="83" t="s">
        <v>657</v>
      </c>
      <c r="F7" s="81">
        <v>28.57</v>
      </c>
      <c r="G7" s="82">
        <f>Plan1!D7*Plan1!F7</f>
        <v>36569.6</v>
      </c>
    </row>
    <row r="8" spans="1:7" ht="51" customHeight="1">
      <c r="A8" s="75" t="s">
        <v>658</v>
      </c>
      <c r="B8" s="79" t="s">
        <v>659</v>
      </c>
      <c r="C8" s="80" t="s">
        <v>42</v>
      </c>
      <c r="D8" s="80">
        <v>8</v>
      </c>
      <c r="E8" s="80" t="s">
        <v>660</v>
      </c>
      <c r="F8" s="81">
        <v>520.24</v>
      </c>
      <c r="G8" s="82">
        <f>Plan1!D8*Plan1!F8</f>
        <v>4161.92</v>
      </c>
    </row>
    <row r="9" spans="1:7" ht="51" customHeight="1">
      <c r="A9" s="75" t="s">
        <v>661</v>
      </c>
      <c r="B9" s="79" t="s">
        <v>662</v>
      </c>
      <c r="C9" s="80" t="s">
        <v>42</v>
      </c>
      <c r="D9" s="80">
        <v>8</v>
      </c>
      <c r="E9" s="80" t="s">
        <v>663</v>
      </c>
      <c r="F9" s="81">
        <v>793.02</v>
      </c>
      <c r="G9" s="82">
        <f>Plan1!D9*Plan1!F9</f>
        <v>6344.16</v>
      </c>
    </row>
    <row r="10" spans="1:7" ht="15" customHeight="1">
      <c r="A10" s="75" t="s">
        <v>664</v>
      </c>
      <c r="B10" s="79" t="s">
        <v>665</v>
      </c>
      <c r="C10" s="80" t="s">
        <v>52</v>
      </c>
      <c r="D10" s="80">
        <v>48</v>
      </c>
      <c r="E10" s="83" t="s">
        <v>666</v>
      </c>
      <c r="F10" s="81">
        <v>7.17</v>
      </c>
      <c r="G10" s="82">
        <f>Plan1!D10*Plan1!F10</f>
        <v>344.15999999999997</v>
      </c>
    </row>
    <row r="11" spans="1:7" ht="15" customHeight="1">
      <c r="A11" s="75" t="s">
        <v>667</v>
      </c>
      <c r="B11" s="85"/>
      <c r="C11" s="86"/>
      <c r="D11" s="85"/>
      <c r="E11" s="87"/>
      <c r="F11" s="81"/>
      <c r="G11" s="82"/>
    </row>
    <row r="12" spans="1:7" ht="15" customHeight="1">
      <c r="A12" s="88"/>
      <c r="B12" s="737" t="s">
        <v>668</v>
      </c>
      <c r="C12" s="737"/>
      <c r="D12" s="737"/>
      <c r="E12" s="737"/>
      <c r="F12" s="737"/>
      <c r="G12" s="89">
        <f>SUM(Plan1!G3:G11)</f>
        <v>73664.83</v>
      </c>
    </row>
    <row r="13" spans="1:7" ht="15" customHeight="1">
      <c r="A13" s="75" t="s">
        <v>19</v>
      </c>
      <c r="B13" s="736" t="s">
        <v>669</v>
      </c>
      <c r="C13" s="736"/>
      <c r="D13" s="736"/>
      <c r="E13" s="736"/>
      <c r="F13" s="736"/>
      <c r="G13" s="736"/>
    </row>
    <row r="14" spans="1:7" ht="15" customHeight="1">
      <c r="A14" s="75" t="s">
        <v>21</v>
      </c>
      <c r="B14" s="79" t="s">
        <v>670</v>
      </c>
      <c r="C14" s="80" t="s">
        <v>671</v>
      </c>
      <c r="D14" s="80">
        <v>34200</v>
      </c>
      <c r="E14" s="83" t="s">
        <v>672</v>
      </c>
      <c r="F14" s="81">
        <v>0.74</v>
      </c>
      <c r="G14" s="82">
        <f>Plan1!D14*Plan1!F14</f>
        <v>25308</v>
      </c>
    </row>
    <row r="15" spans="1:7" ht="51" customHeight="1">
      <c r="A15" s="75" t="s">
        <v>46</v>
      </c>
      <c r="B15" s="79" t="s">
        <v>673</v>
      </c>
      <c r="C15" s="80" t="s">
        <v>674</v>
      </c>
      <c r="D15" s="80">
        <f>13000+3000</f>
        <v>16000</v>
      </c>
      <c r="E15" s="83" t="s">
        <v>675</v>
      </c>
      <c r="F15" s="81">
        <v>4</v>
      </c>
      <c r="G15" s="82">
        <f>Plan1!D15*Plan1!F15</f>
        <v>64000</v>
      </c>
    </row>
    <row r="16" spans="1:7" ht="51" customHeight="1">
      <c r="A16" s="75" t="s">
        <v>53</v>
      </c>
      <c r="B16" s="79" t="s">
        <v>676</v>
      </c>
      <c r="C16" s="80" t="s">
        <v>674</v>
      </c>
      <c r="D16" s="80">
        <f>13000+3000</f>
        <v>16000</v>
      </c>
      <c r="E16" s="83" t="s">
        <v>677</v>
      </c>
      <c r="F16" s="81">
        <v>4</v>
      </c>
      <c r="G16" s="82">
        <f>Plan1!D16*Plan1!F16</f>
        <v>64000</v>
      </c>
    </row>
    <row r="17" spans="1:7" ht="51" customHeight="1">
      <c r="A17" s="75" t="s">
        <v>56</v>
      </c>
      <c r="B17" s="79" t="s">
        <v>678</v>
      </c>
      <c r="C17" s="80" t="s">
        <v>674</v>
      </c>
      <c r="D17" s="80">
        <f>13000+3000</f>
        <v>16000</v>
      </c>
      <c r="E17" s="83" t="s">
        <v>679</v>
      </c>
      <c r="F17" s="81">
        <v>3.95</v>
      </c>
      <c r="G17" s="82">
        <f>Plan1!D17*Plan1!F17</f>
        <v>63200</v>
      </c>
    </row>
    <row r="18" spans="1:7" ht="25.5" customHeight="1">
      <c r="A18" s="75" t="s">
        <v>59</v>
      </c>
      <c r="B18" s="79" t="s">
        <v>680</v>
      </c>
      <c r="C18" s="80" t="s">
        <v>674</v>
      </c>
      <c r="D18" s="80">
        <v>1600</v>
      </c>
      <c r="E18" s="83" t="s">
        <v>681</v>
      </c>
      <c r="F18" s="81">
        <v>6.31</v>
      </c>
      <c r="G18" s="82">
        <f>Plan1!D18*Plan1!F18</f>
        <v>10096</v>
      </c>
    </row>
    <row r="19" spans="1:7" ht="25.5" customHeight="1">
      <c r="A19" s="75" t="s">
        <v>62</v>
      </c>
      <c r="B19" s="79" t="s">
        <v>682</v>
      </c>
      <c r="C19" s="80" t="s">
        <v>674</v>
      </c>
      <c r="D19" s="80">
        <v>1200</v>
      </c>
      <c r="E19" s="83" t="s">
        <v>683</v>
      </c>
      <c r="F19" s="81">
        <v>8.69</v>
      </c>
      <c r="G19" s="82">
        <f>Plan1!D19*Plan1!F19</f>
        <v>10428</v>
      </c>
    </row>
    <row r="20" spans="1:7" ht="25.5" customHeight="1">
      <c r="A20" s="75" t="s">
        <v>63</v>
      </c>
      <c r="B20" s="79" t="s">
        <v>684</v>
      </c>
      <c r="C20" s="80" t="s">
        <v>674</v>
      </c>
      <c r="D20" s="80">
        <v>400</v>
      </c>
      <c r="E20" s="83" t="s">
        <v>685</v>
      </c>
      <c r="F20" s="81">
        <v>12.09</v>
      </c>
      <c r="G20" s="82">
        <f>Plan1!D20*Plan1!F20</f>
        <v>4836</v>
      </c>
    </row>
    <row r="21" spans="1:7" ht="15" customHeight="1">
      <c r="A21" s="75" t="s">
        <v>66</v>
      </c>
      <c r="B21" s="79" t="s">
        <v>686</v>
      </c>
      <c r="C21" s="80" t="s">
        <v>674</v>
      </c>
      <c r="D21" s="80">
        <v>60000</v>
      </c>
      <c r="E21" s="80" t="s">
        <v>687</v>
      </c>
      <c r="F21" s="81">
        <v>4.31</v>
      </c>
      <c r="G21" s="82">
        <f>Plan1!D21*Plan1!F21</f>
        <v>258599.99999999997</v>
      </c>
    </row>
    <row r="22" spans="1:7" ht="25.5" customHeight="1">
      <c r="A22" s="75" t="s">
        <v>69</v>
      </c>
      <c r="B22" s="79" t="s">
        <v>688</v>
      </c>
      <c r="C22" s="80" t="s">
        <v>689</v>
      </c>
      <c r="D22" s="80">
        <v>1100</v>
      </c>
      <c r="E22" s="80" t="s">
        <v>690</v>
      </c>
      <c r="F22" s="81">
        <v>58.34</v>
      </c>
      <c r="G22" s="82">
        <f>Plan1!D22*Plan1!F22</f>
        <v>64174.00000000001</v>
      </c>
    </row>
    <row r="23" spans="1:7" ht="25.5" customHeight="1">
      <c r="A23" s="75" t="s">
        <v>72</v>
      </c>
      <c r="B23" s="79" t="s">
        <v>691</v>
      </c>
      <c r="C23" s="80" t="s">
        <v>689</v>
      </c>
      <c r="D23" s="80">
        <v>1100</v>
      </c>
      <c r="E23" s="83" t="s">
        <v>692</v>
      </c>
      <c r="F23" s="81">
        <v>120.28</v>
      </c>
      <c r="G23" s="82">
        <f>Plan1!D23*Plan1!F23</f>
        <v>132308</v>
      </c>
    </row>
    <row r="24" spans="1:7" ht="15" customHeight="1">
      <c r="A24" s="75" t="s">
        <v>75</v>
      </c>
      <c r="B24" s="79" t="s">
        <v>693</v>
      </c>
      <c r="C24" s="80" t="s">
        <v>671</v>
      </c>
      <c r="D24" s="80">
        <v>1000</v>
      </c>
      <c r="E24" s="80" t="s">
        <v>694</v>
      </c>
      <c r="F24" s="81">
        <v>2.83</v>
      </c>
      <c r="G24" s="82">
        <f>Plan1!D24*Plan1!F24</f>
        <v>2830</v>
      </c>
    </row>
    <row r="25" spans="1:7" ht="15" customHeight="1">
      <c r="A25" s="75" t="s">
        <v>78</v>
      </c>
      <c r="B25" s="79" t="s">
        <v>695</v>
      </c>
      <c r="C25" s="80" t="s">
        <v>671</v>
      </c>
      <c r="D25" s="80">
        <f>2000+350+800</f>
        <v>3150</v>
      </c>
      <c r="E25" s="83" t="s">
        <v>391</v>
      </c>
      <c r="F25" s="81">
        <v>8.05</v>
      </c>
      <c r="G25" s="82">
        <f>Plan1!D25*Plan1!F25</f>
        <v>25357.500000000004</v>
      </c>
    </row>
    <row r="26" spans="1:7" ht="25.5" customHeight="1">
      <c r="A26" s="75" t="s">
        <v>81</v>
      </c>
      <c r="B26" s="79" t="s">
        <v>696</v>
      </c>
      <c r="C26" s="80" t="s">
        <v>671</v>
      </c>
      <c r="D26" s="80">
        <v>500</v>
      </c>
      <c r="E26" s="83" t="s">
        <v>697</v>
      </c>
      <c r="F26" s="81">
        <v>6.13</v>
      </c>
      <c r="G26" s="82">
        <f>Plan1!D26*Plan1!F26</f>
        <v>3065</v>
      </c>
    </row>
    <row r="27" spans="1:7" ht="25.5" customHeight="1">
      <c r="A27" s="75" t="s">
        <v>84</v>
      </c>
      <c r="B27" s="79" t="s">
        <v>698</v>
      </c>
      <c r="C27" s="80" t="s">
        <v>671</v>
      </c>
      <c r="D27" s="80">
        <v>20</v>
      </c>
      <c r="E27" s="83" t="s">
        <v>699</v>
      </c>
      <c r="F27" s="81">
        <v>42.23</v>
      </c>
      <c r="G27" s="82">
        <f>Plan1!D27*Plan1!F27</f>
        <v>844.5999999999999</v>
      </c>
    </row>
    <row r="28" spans="1:7" ht="25.5" customHeight="1">
      <c r="A28" s="75" t="s">
        <v>87</v>
      </c>
      <c r="B28" s="79" t="s">
        <v>700</v>
      </c>
      <c r="C28" s="80" t="s">
        <v>671</v>
      </c>
      <c r="D28" s="80">
        <v>20</v>
      </c>
      <c r="E28" s="83" t="s">
        <v>701</v>
      </c>
      <c r="F28" s="81">
        <v>56.15</v>
      </c>
      <c r="G28" s="82">
        <f>Plan1!D28*Plan1!F28</f>
        <v>1123</v>
      </c>
    </row>
    <row r="29" spans="1:7" ht="25.5" customHeight="1">
      <c r="A29" s="75" t="s">
        <v>702</v>
      </c>
      <c r="B29" s="79" t="s">
        <v>703</v>
      </c>
      <c r="C29" s="80" t="s">
        <v>671</v>
      </c>
      <c r="D29" s="80">
        <v>12</v>
      </c>
      <c r="E29" s="83" t="s">
        <v>322</v>
      </c>
      <c r="F29" s="81">
        <v>25.23</v>
      </c>
      <c r="G29" s="82">
        <f>Plan1!D29*Plan1!F29</f>
        <v>302.76</v>
      </c>
    </row>
    <row r="30" spans="1:7" ht="25.5" customHeight="1">
      <c r="A30" s="75" t="s">
        <v>704</v>
      </c>
      <c r="B30" s="79" t="s">
        <v>705</v>
      </c>
      <c r="C30" s="80" t="s">
        <v>671</v>
      </c>
      <c r="D30" s="80">
        <v>12</v>
      </c>
      <c r="E30" s="83" t="s">
        <v>16</v>
      </c>
      <c r="F30" s="81">
        <v>36.33</v>
      </c>
      <c r="G30" s="82">
        <f>Plan1!D30*Plan1!F30</f>
        <v>435.96</v>
      </c>
    </row>
    <row r="31" spans="1:7" ht="25.5" customHeight="1">
      <c r="A31" s="75" t="s">
        <v>706</v>
      </c>
      <c r="B31" s="79" t="s">
        <v>707</v>
      </c>
      <c r="C31" s="80" t="s">
        <v>671</v>
      </c>
      <c r="D31" s="80">
        <v>30</v>
      </c>
      <c r="E31" s="80" t="s">
        <v>708</v>
      </c>
      <c r="F31" s="81">
        <v>19.56</v>
      </c>
      <c r="G31" s="82">
        <f>Plan1!D31*Plan1!F31</f>
        <v>586.8</v>
      </c>
    </row>
    <row r="32" spans="1:7" ht="25.5" customHeight="1">
      <c r="A32" s="75" t="s">
        <v>709</v>
      </c>
      <c r="B32" s="79" t="s">
        <v>710</v>
      </c>
      <c r="C32" s="80" t="s">
        <v>671</v>
      </c>
      <c r="D32" s="80">
        <v>30</v>
      </c>
      <c r="E32" s="83" t="s">
        <v>402</v>
      </c>
      <c r="F32" s="81">
        <v>54.73</v>
      </c>
      <c r="G32" s="82">
        <f>Plan1!D32*Plan1!F32</f>
        <v>1641.8999999999999</v>
      </c>
    </row>
    <row r="33" spans="1:7" ht="25.5" customHeight="1">
      <c r="A33" s="75" t="s">
        <v>711</v>
      </c>
      <c r="B33" s="79" t="s">
        <v>712</v>
      </c>
      <c r="C33" s="80" t="s">
        <v>671</v>
      </c>
      <c r="D33" s="80">
        <v>25</v>
      </c>
      <c r="E33" s="83" t="s">
        <v>174</v>
      </c>
      <c r="F33" s="81">
        <v>10.06</v>
      </c>
      <c r="G33" s="82">
        <f>Plan1!D33*Plan1!F33</f>
        <v>251.5</v>
      </c>
    </row>
    <row r="34" spans="1:7" ht="25.5" customHeight="1">
      <c r="A34" s="75" t="s">
        <v>713</v>
      </c>
      <c r="B34" s="79" t="s">
        <v>714</v>
      </c>
      <c r="C34" s="80" t="s">
        <v>715</v>
      </c>
      <c r="D34" s="80">
        <v>1600</v>
      </c>
      <c r="E34" s="80" t="s">
        <v>716</v>
      </c>
      <c r="F34" s="81">
        <f>12.29*3</f>
        <v>36.87</v>
      </c>
      <c r="G34" s="82">
        <f>Plan1!D34*Plan1!F34</f>
        <v>58991.99999999999</v>
      </c>
    </row>
    <row r="35" spans="1:7" ht="25.5" customHeight="1">
      <c r="A35" s="75" t="s">
        <v>717</v>
      </c>
      <c r="B35" s="79" t="s">
        <v>718</v>
      </c>
      <c r="C35" s="80" t="s">
        <v>671</v>
      </c>
      <c r="D35" s="80">
        <v>16</v>
      </c>
      <c r="E35" s="80" t="s">
        <v>719</v>
      </c>
      <c r="F35" s="81">
        <v>5.93</v>
      </c>
      <c r="G35" s="82">
        <f>Plan1!D35*Plan1!F35</f>
        <v>94.88</v>
      </c>
    </row>
    <row r="36" spans="1:7" ht="25.5" customHeight="1">
      <c r="A36" s="75" t="s">
        <v>720</v>
      </c>
      <c r="B36" s="79" t="s">
        <v>721</v>
      </c>
      <c r="C36" s="80" t="s">
        <v>671</v>
      </c>
      <c r="D36" s="80">
        <v>10</v>
      </c>
      <c r="E36" s="80" t="s">
        <v>722</v>
      </c>
      <c r="F36" s="81">
        <v>9.33</v>
      </c>
      <c r="G36" s="82">
        <f>Plan1!D36*Plan1!F36</f>
        <v>93.3</v>
      </c>
    </row>
    <row r="37" spans="1:7" ht="15" customHeight="1">
      <c r="A37" s="75" t="s">
        <v>723</v>
      </c>
      <c r="B37" s="79" t="s">
        <v>724</v>
      </c>
      <c r="C37" s="80" t="s">
        <v>671</v>
      </c>
      <c r="D37" s="80">
        <v>1200</v>
      </c>
      <c r="E37" s="80" t="s">
        <v>725</v>
      </c>
      <c r="F37" s="81">
        <v>5.23</v>
      </c>
      <c r="G37" s="82">
        <f>Plan1!D37*Plan1!F37</f>
        <v>6276.000000000001</v>
      </c>
    </row>
    <row r="38" spans="1:7" ht="15" customHeight="1">
      <c r="A38" s="75" t="s">
        <v>726</v>
      </c>
      <c r="B38" s="79" t="s">
        <v>727</v>
      </c>
      <c r="C38" s="80" t="s">
        <v>671</v>
      </c>
      <c r="D38" s="80">
        <v>1200</v>
      </c>
      <c r="E38" s="80" t="s">
        <v>728</v>
      </c>
      <c r="F38" s="81">
        <v>7.28</v>
      </c>
      <c r="G38" s="82">
        <f>Plan1!D38*Plan1!F38</f>
        <v>8736</v>
      </c>
    </row>
    <row r="39" spans="1:7" ht="15" customHeight="1">
      <c r="A39" s="75" t="s">
        <v>729</v>
      </c>
      <c r="B39" s="79" t="s">
        <v>730</v>
      </c>
      <c r="C39" s="80" t="s">
        <v>674</v>
      </c>
      <c r="D39" s="80">
        <v>1300</v>
      </c>
      <c r="E39" s="80" t="s">
        <v>731</v>
      </c>
      <c r="F39" s="81">
        <v>7.04</v>
      </c>
      <c r="G39" s="82">
        <f>Plan1!D39*Plan1!F39</f>
        <v>9152</v>
      </c>
    </row>
    <row r="40" spans="1:7" ht="15" customHeight="1">
      <c r="A40" s="75" t="s">
        <v>732</v>
      </c>
      <c r="B40" s="79" t="s">
        <v>733</v>
      </c>
      <c r="C40" s="80" t="s">
        <v>9</v>
      </c>
      <c r="D40" s="80">
        <v>50</v>
      </c>
      <c r="E40" s="80" t="s">
        <v>734</v>
      </c>
      <c r="F40" s="81">
        <v>100</v>
      </c>
      <c r="G40" s="82">
        <f>Plan1!D40*Plan1!F40</f>
        <v>5000</v>
      </c>
    </row>
    <row r="41" spans="1:7" ht="15" customHeight="1">
      <c r="A41" s="75" t="s">
        <v>735</v>
      </c>
      <c r="B41" s="79" t="s">
        <v>736</v>
      </c>
      <c r="C41" s="80" t="s">
        <v>671</v>
      </c>
      <c r="D41" s="80">
        <v>3000</v>
      </c>
      <c r="E41" s="80" t="s">
        <v>347</v>
      </c>
      <c r="F41" s="81">
        <v>36.43</v>
      </c>
      <c r="G41" s="82">
        <f>Plan1!D41*Plan1!F41</f>
        <v>109290</v>
      </c>
    </row>
    <row r="42" spans="1:7" ht="15" customHeight="1">
      <c r="A42" s="75" t="s">
        <v>737</v>
      </c>
      <c r="B42" s="90" t="s">
        <v>738</v>
      </c>
      <c r="C42" s="80" t="s">
        <v>739</v>
      </c>
      <c r="D42" s="80">
        <v>8000</v>
      </c>
      <c r="E42" s="83" t="s">
        <v>740</v>
      </c>
      <c r="F42" s="81">
        <v>1.99</v>
      </c>
      <c r="G42" s="82">
        <f>Plan1!F42*Plan1!D42</f>
        <v>15920</v>
      </c>
    </row>
    <row r="43" spans="1:7" ht="25.5" customHeight="1">
      <c r="A43" s="75" t="s">
        <v>741</v>
      </c>
      <c r="B43" s="79" t="s">
        <v>742</v>
      </c>
      <c r="C43" s="80" t="s">
        <v>739</v>
      </c>
      <c r="D43" s="80">
        <v>8000</v>
      </c>
      <c r="E43" s="83" t="s">
        <v>743</v>
      </c>
      <c r="F43" s="81">
        <v>0.92</v>
      </c>
      <c r="G43" s="82">
        <f>Plan1!F43*Plan1!D43</f>
        <v>7360</v>
      </c>
    </row>
    <row r="44" spans="1:7" ht="15" customHeight="1">
      <c r="A44" s="75" t="s">
        <v>744</v>
      </c>
      <c r="B44" s="79" t="s">
        <v>745</v>
      </c>
      <c r="C44" s="80" t="s">
        <v>671</v>
      </c>
      <c r="D44" s="80">
        <v>1000</v>
      </c>
      <c r="E44" s="80" t="s">
        <v>746</v>
      </c>
      <c r="F44" s="81">
        <v>22.99</v>
      </c>
      <c r="G44" s="82">
        <f>Plan1!D44*Plan1!F44</f>
        <v>22990</v>
      </c>
    </row>
    <row r="45" spans="1:7" ht="25.5" customHeight="1">
      <c r="A45" s="75" t="s">
        <v>747</v>
      </c>
      <c r="B45" s="79" t="s">
        <v>748</v>
      </c>
      <c r="C45" s="80" t="s">
        <v>671</v>
      </c>
      <c r="D45" s="80">
        <v>1000</v>
      </c>
      <c r="E45" s="80" t="s">
        <v>749</v>
      </c>
      <c r="F45" s="81">
        <v>12.93</v>
      </c>
      <c r="G45" s="82">
        <f>Plan1!D45*Plan1!F45</f>
        <v>12930</v>
      </c>
    </row>
    <row r="46" spans="1:7" ht="25.5" customHeight="1">
      <c r="A46" s="75" t="s">
        <v>750</v>
      </c>
      <c r="B46" s="79" t="s">
        <v>751</v>
      </c>
      <c r="C46" s="80" t="s">
        <v>671</v>
      </c>
      <c r="D46" s="80">
        <v>10000</v>
      </c>
      <c r="E46" s="80" t="s">
        <v>752</v>
      </c>
      <c r="F46" s="81">
        <v>0.85</v>
      </c>
      <c r="G46" s="82">
        <f>Plan1!D46*Plan1!F46</f>
        <v>8500</v>
      </c>
    </row>
    <row r="47" spans="1:7" ht="25.5" customHeight="1">
      <c r="A47" s="75" t="s">
        <v>753</v>
      </c>
      <c r="B47" s="79" t="s">
        <v>754</v>
      </c>
      <c r="C47" s="80" t="s">
        <v>671</v>
      </c>
      <c r="D47" s="80">
        <v>20000</v>
      </c>
      <c r="E47" s="80" t="s">
        <v>755</v>
      </c>
      <c r="F47" s="81">
        <v>1.21</v>
      </c>
      <c r="G47" s="82">
        <f>Plan1!D47*Plan1!F47</f>
        <v>24200</v>
      </c>
    </row>
    <row r="48" spans="1:7" ht="15" customHeight="1">
      <c r="A48" s="75" t="s">
        <v>756</v>
      </c>
      <c r="B48" s="79" t="s">
        <v>757</v>
      </c>
      <c r="C48" s="80" t="s">
        <v>133</v>
      </c>
      <c r="D48" s="80">
        <v>100</v>
      </c>
      <c r="E48" s="80" t="s">
        <v>384</v>
      </c>
      <c r="F48" s="81">
        <v>34.43</v>
      </c>
      <c r="G48" s="82">
        <f>Plan1!D48*Plan1!F48</f>
        <v>3443</v>
      </c>
    </row>
    <row r="49" spans="1:7" ht="25.5" customHeight="1">
      <c r="A49" s="75" t="s">
        <v>758</v>
      </c>
      <c r="B49" s="79" t="s">
        <v>759</v>
      </c>
      <c r="C49" s="80" t="s">
        <v>671</v>
      </c>
      <c r="D49" s="80">
        <v>1000</v>
      </c>
      <c r="E49" s="80" t="s">
        <v>760</v>
      </c>
      <c r="F49" s="81">
        <v>13.73</v>
      </c>
      <c r="G49" s="82">
        <f>Plan1!D49*Plan1!F49</f>
        <v>13730</v>
      </c>
    </row>
    <row r="50" spans="1:7" ht="15" customHeight="1">
      <c r="A50" s="75" t="s">
        <v>761</v>
      </c>
      <c r="B50" s="79" t="s">
        <v>762</v>
      </c>
      <c r="C50" s="80" t="s">
        <v>671</v>
      </c>
      <c r="D50" s="80">
        <v>6000</v>
      </c>
      <c r="E50" s="80" t="s">
        <v>763</v>
      </c>
      <c r="F50" s="81">
        <v>1.68</v>
      </c>
      <c r="G50" s="82">
        <f>Plan1!D50*Plan1!F50</f>
        <v>10080</v>
      </c>
    </row>
    <row r="51" spans="1:7" ht="25.5" customHeight="1">
      <c r="A51" s="75" t="s">
        <v>764</v>
      </c>
      <c r="B51" s="79" t="s">
        <v>765</v>
      </c>
      <c r="C51" s="80" t="s">
        <v>671</v>
      </c>
      <c r="D51" s="80">
        <v>6000</v>
      </c>
      <c r="E51" s="80" t="s">
        <v>766</v>
      </c>
      <c r="F51" s="81">
        <v>0.91</v>
      </c>
      <c r="G51" s="82">
        <f>Plan1!D51*Plan1!F51</f>
        <v>5460</v>
      </c>
    </row>
    <row r="52" spans="1:7" ht="15" customHeight="1">
      <c r="A52" s="75" t="s">
        <v>767</v>
      </c>
      <c r="B52" s="79" t="s">
        <v>768</v>
      </c>
      <c r="C52" s="83" t="s">
        <v>671</v>
      </c>
      <c r="D52" s="83">
        <v>6000</v>
      </c>
      <c r="E52" s="80" t="s">
        <v>769</v>
      </c>
      <c r="F52" s="91">
        <v>4.39</v>
      </c>
      <c r="G52" s="92">
        <f>Plan1!D52*Plan1!F52</f>
        <v>26339.999999999996</v>
      </c>
    </row>
    <row r="53" spans="1:7" ht="15" customHeight="1">
      <c r="A53" s="75" t="s">
        <v>770</v>
      </c>
      <c r="B53" s="79" t="s">
        <v>771</v>
      </c>
      <c r="C53" s="80" t="s">
        <v>671</v>
      </c>
      <c r="D53" s="83">
        <v>34200</v>
      </c>
      <c r="E53" s="80" t="s">
        <v>772</v>
      </c>
      <c r="F53" s="81">
        <v>0.81</v>
      </c>
      <c r="G53" s="82">
        <f>Plan1!D53*Plan1!F53</f>
        <v>27702.000000000004</v>
      </c>
    </row>
    <row r="54" spans="1:7" ht="15" customHeight="1">
      <c r="A54" s="75" t="s">
        <v>773</v>
      </c>
      <c r="B54" s="79" t="s">
        <v>774</v>
      </c>
      <c r="C54" s="80" t="s">
        <v>671</v>
      </c>
      <c r="D54" s="80">
        <v>560</v>
      </c>
      <c r="E54" s="80" t="s">
        <v>775</v>
      </c>
      <c r="F54" s="81">
        <v>3.47</v>
      </c>
      <c r="G54" s="82">
        <f>Plan1!D54*Plan1!F54</f>
        <v>1943.2</v>
      </c>
    </row>
    <row r="55" spans="1:7" ht="15" customHeight="1">
      <c r="A55" s="75" t="s">
        <v>776</v>
      </c>
      <c r="B55" s="79" t="s">
        <v>777</v>
      </c>
      <c r="C55" s="80" t="s">
        <v>671</v>
      </c>
      <c r="D55" s="80">
        <v>15</v>
      </c>
      <c r="E55" s="80" t="s">
        <v>382</v>
      </c>
      <c r="F55" s="81">
        <v>14.26</v>
      </c>
      <c r="G55" s="82">
        <f>Plan1!D55*Plan1!F55</f>
        <v>213.9</v>
      </c>
    </row>
    <row r="56" spans="1:7" ht="15" customHeight="1">
      <c r="A56" s="75" t="s">
        <v>778</v>
      </c>
      <c r="B56" s="79" t="s">
        <v>779</v>
      </c>
      <c r="C56" s="80" t="s">
        <v>671</v>
      </c>
      <c r="D56" s="80">
        <v>30</v>
      </c>
      <c r="E56" s="80" t="s">
        <v>135</v>
      </c>
      <c r="F56" s="81">
        <v>80.41</v>
      </c>
      <c r="G56" s="82">
        <f>Plan1!D56*Plan1!F56</f>
        <v>2412.2999999999997</v>
      </c>
    </row>
    <row r="57" spans="1:7" ht="15" customHeight="1">
      <c r="A57" s="75" t="s">
        <v>780</v>
      </c>
      <c r="B57" s="79" t="s">
        <v>781</v>
      </c>
      <c r="C57" s="80" t="s">
        <v>671</v>
      </c>
      <c r="D57" s="80">
        <v>18</v>
      </c>
      <c r="E57" s="80" t="s">
        <v>138</v>
      </c>
      <c r="F57" s="81">
        <v>98.73</v>
      </c>
      <c r="G57" s="82">
        <f>Plan1!D57*Plan1!F57</f>
        <v>1777.14</v>
      </c>
    </row>
    <row r="58" spans="1:7" ht="25.5" customHeight="1">
      <c r="A58" s="75" t="s">
        <v>782</v>
      </c>
      <c r="B58" s="79" t="s">
        <v>783</v>
      </c>
      <c r="C58" s="80" t="s">
        <v>671</v>
      </c>
      <c r="D58" s="80">
        <v>14</v>
      </c>
      <c r="E58" s="80" t="s">
        <v>141</v>
      </c>
      <c r="F58" s="81">
        <v>111.33</v>
      </c>
      <c r="G58" s="82">
        <f>Plan1!D58*Plan1!F58</f>
        <v>1558.62</v>
      </c>
    </row>
    <row r="59" spans="1:7" ht="15" customHeight="1">
      <c r="A59" s="75" t="s">
        <v>784</v>
      </c>
      <c r="B59" s="79" t="s">
        <v>785</v>
      </c>
      <c r="C59" s="80" t="s">
        <v>671</v>
      </c>
      <c r="D59" s="80">
        <v>15</v>
      </c>
      <c r="E59" s="80" t="s">
        <v>397</v>
      </c>
      <c r="F59" s="81">
        <v>91.63</v>
      </c>
      <c r="G59" s="82">
        <f>Plan1!D59*Plan1!F59</f>
        <v>1374.4499999999998</v>
      </c>
    </row>
    <row r="60" spans="1:7" ht="15" customHeight="1">
      <c r="A60" s="75" t="s">
        <v>786</v>
      </c>
      <c r="B60" s="79" t="s">
        <v>787</v>
      </c>
      <c r="C60" s="80" t="s">
        <v>671</v>
      </c>
      <c r="D60" s="80">
        <v>9</v>
      </c>
      <c r="E60" s="80" t="s">
        <v>379</v>
      </c>
      <c r="F60" s="81">
        <v>91.63</v>
      </c>
      <c r="G60" s="82">
        <f>Plan1!D60*Plan1!F60</f>
        <v>824.67</v>
      </c>
    </row>
    <row r="61" spans="1:7" ht="15" customHeight="1">
      <c r="A61" s="75" t="s">
        <v>788</v>
      </c>
      <c r="B61" s="79" t="s">
        <v>789</v>
      </c>
      <c r="C61" s="80" t="s">
        <v>671</v>
      </c>
      <c r="D61" s="80">
        <f>1000+400</f>
        <v>1400</v>
      </c>
      <c r="E61" s="80" t="s">
        <v>158</v>
      </c>
      <c r="F61" s="81">
        <v>8.93</v>
      </c>
      <c r="G61" s="82">
        <f>Plan1!D61*Plan1!F61</f>
        <v>12502</v>
      </c>
    </row>
    <row r="62" spans="1:7" ht="15" customHeight="1">
      <c r="A62" s="75" t="s">
        <v>790</v>
      </c>
      <c r="B62" s="90" t="s">
        <v>791</v>
      </c>
      <c r="C62" s="83" t="s">
        <v>671</v>
      </c>
      <c r="D62" s="80">
        <v>700</v>
      </c>
      <c r="E62" s="80" t="s">
        <v>386</v>
      </c>
      <c r="F62" s="81">
        <v>5.63</v>
      </c>
      <c r="G62" s="82">
        <f>Plan1!D62*Plan1!F62</f>
        <v>3941</v>
      </c>
    </row>
    <row r="63" spans="1:7" ht="25.5" customHeight="1">
      <c r="A63" s="75" t="s">
        <v>792</v>
      </c>
      <c r="B63" s="79" t="s">
        <v>793</v>
      </c>
      <c r="C63" s="80" t="s">
        <v>671</v>
      </c>
      <c r="D63" s="80">
        <v>1400</v>
      </c>
      <c r="E63" s="80" t="s">
        <v>794</v>
      </c>
      <c r="F63" s="81">
        <v>5.93</v>
      </c>
      <c r="G63" s="82">
        <f>Plan1!D63*Plan1!F63</f>
        <v>8302</v>
      </c>
    </row>
    <row r="64" spans="1:7" ht="25.5" customHeight="1">
      <c r="A64" s="75" t="s">
        <v>795</v>
      </c>
      <c r="B64" s="79" t="s">
        <v>796</v>
      </c>
      <c r="C64" s="83" t="s">
        <v>671</v>
      </c>
      <c r="D64" s="80">
        <v>23</v>
      </c>
      <c r="E64" s="80" t="s">
        <v>797</v>
      </c>
      <c r="F64" s="81">
        <v>152.08</v>
      </c>
      <c r="G64" s="82">
        <f>Plan1!D64*Plan1!F64</f>
        <v>3497.84</v>
      </c>
    </row>
    <row r="65" spans="1:7" ht="25.5" customHeight="1">
      <c r="A65" s="75" t="s">
        <v>798</v>
      </c>
      <c r="B65" s="79" t="s">
        <v>799</v>
      </c>
      <c r="C65" s="83" t="s">
        <v>671</v>
      </c>
      <c r="D65" s="80">
        <v>23</v>
      </c>
      <c r="E65" s="80" t="s">
        <v>800</v>
      </c>
      <c r="F65" s="81">
        <v>142.52</v>
      </c>
      <c r="G65" s="82">
        <f>Plan1!D65*Plan1!F65</f>
        <v>3277.96</v>
      </c>
    </row>
    <row r="66" spans="1:7" ht="15" customHeight="1">
      <c r="A66" s="75" t="s">
        <v>801</v>
      </c>
      <c r="B66" s="79" t="s">
        <v>802</v>
      </c>
      <c r="C66" s="83" t="s">
        <v>671</v>
      </c>
      <c r="D66" s="80">
        <v>200</v>
      </c>
      <c r="E66" s="80" t="s">
        <v>803</v>
      </c>
      <c r="F66" s="91">
        <v>12.22</v>
      </c>
      <c r="G66" s="92">
        <f>Plan1!D66*Plan1!F66</f>
        <v>2444</v>
      </c>
    </row>
    <row r="67" spans="1:7" ht="15" customHeight="1">
      <c r="A67" s="75" t="s">
        <v>804</v>
      </c>
      <c r="B67" s="79" t="s">
        <v>805</v>
      </c>
      <c r="C67" s="83" t="s">
        <v>671</v>
      </c>
      <c r="D67" s="80">
        <v>10</v>
      </c>
      <c r="E67" s="80" t="s">
        <v>806</v>
      </c>
      <c r="F67" s="91">
        <v>87.07</v>
      </c>
      <c r="G67" s="92">
        <f>Plan1!D67*Plan1!F67</f>
        <v>870.6999999999999</v>
      </c>
    </row>
    <row r="68" spans="1:7" ht="15" customHeight="1">
      <c r="A68" s="75" t="s">
        <v>807</v>
      </c>
      <c r="B68" s="79" t="s">
        <v>808</v>
      </c>
      <c r="C68" s="83" t="s">
        <v>671</v>
      </c>
      <c r="D68" s="80">
        <v>5</v>
      </c>
      <c r="E68" s="80" t="s">
        <v>809</v>
      </c>
      <c r="F68" s="91">
        <v>87.07</v>
      </c>
      <c r="G68" s="92">
        <f>Plan1!D68*Plan1!F68</f>
        <v>435.34999999999997</v>
      </c>
    </row>
    <row r="69" spans="1:7" ht="15" customHeight="1">
      <c r="A69" s="75" t="s">
        <v>810</v>
      </c>
      <c r="B69" s="79" t="s">
        <v>811</v>
      </c>
      <c r="C69" s="83" t="s">
        <v>671</v>
      </c>
      <c r="D69" s="80">
        <v>5</v>
      </c>
      <c r="E69" s="80" t="s">
        <v>812</v>
      </c>
      <c r="F69" s="91">
        <v>64.77</v>
      </c>
      <c r="G69" s="92">
        <f>Plan1!D69*Plan1!F69</f>
        <v>323.84999999999997</v>
      </c>
    </row>
    <row r="70" spans="1:7" ht="15" customHeight="1">
      <c r="A70" s="75" t="s">
        <v>813</v>
      </c>
      <c r="B70" s="79" t="s">
        <v>814</v>
      </c>
      <c r="C70" s="83" t="s">
        <v>671</v>
      </c>
      <c r="D70" s="80">
        <v>14</v>
      </c>
      <c r="E70" s="80" t="s">
        <v>815</v>
      </c>
      <c r="F70" s="91">
        <v>66.67</v>
      </c>
      <c r="G70" s="92">
        <f>Plan1!D70*Plan1!F70</f>
        <v>933.38</v>
      </c>
    </row>
    <row r="71" spans="1:7" ht="15" customHeight="1">
      <c r="A71" s="75" t="s">
        <v>816</v>
      </c>
      <c r="B71" s="79" t="s">
        <v>817</v>
      </c>
      <c r="C71" s="83" t="s">
        <v>671</v>
      </c>
      <c r="D71" s="80">
        <v>5</v>
      </c>
      <c r="E71" s="80" t="s">
        <v>818</v>
      </c>
      <c r="F71" s="91">
        <v>87.07</v>
      </c>
      <c r="G71" s="92">
        <f>Plan1!D71*Plan1!F71</f>
        <v>435.34999999999997</v>
      </c>
    </row>
    <row r="72" spans="1:7" ht="15" customHeight="1">
      <c r="A72" s="75" t="s">
        <v>819</v>
      </c>
      <c r="B72" s="79" t="s">
        <v>820</v>
      </c>
      <c r="C72" s="83" t="s">
        <v>671</v>
      </c>
      <c r="D72" s="80">
        <v>6</v>
      </c>
      <c r="E72" s="80" t="s">
        <v>821</v>
      </c>
      <c r="F72" s="91">
        <v>187.26</v>
      </c>
      <c r="G72" s="92">
        <f>Plan1!D72*Plan1!F72</f>
        <v>1123.56</v>
      </c>
    </row>
    <row r="73" spans="1:7" ht="15" customHeight="1">
      <c r="A73" s="75" t="s">
        <v>822</v>
      </c>
      <c r="B73" s="79" t="s">
        <v>823</v>
      </c>
      <c r="C73" s="83" t="s">
        <v>671</v>
      </c>
      <c r="D73" s="80">
        <v>350</v>
      </c>
      <c r="E73" s="80" t="s">
        <v>824</v>
      </c>
      <c r="F73" s="91">
        <v>6.43</v>
      </c>
      <c r="G73" s="92">
        <f>Plan1!D73*Plan1!F73</f>
        <v>2250.5</v>
      </c>
    </row>
    <row r="74" spans="1:7" ht="38.25" customHeight="1">
      <c r="A74" s="75" t="s">
        <v>825</v>
      </c>
      <c r="B74" s="79" t="s">
        <v>826</v>
      </c>
      <c r="C74" s="80" t="s">
        <v>827</v>
      </c>
      <c r="D74" s="83">
        <v>500</v>
      </c>
      <c r="E74" s="93" t="s">
        <v>828</v>
      </c>
      <c r="F74" s="91">
        <v>37.61</v>
      </c>
      <c r="G74" s="92">
        <f>Plan1!D74*Plan1!F74</f>
        <v>18805</v>
      </c>
    </row>
    <row r="75" spans="1:7" ht="15" customHeight="1">
      <c r="A75" s="75" t="s">
        <v>829</v>
      </c>
      <c r="B75" s="79" t="s">
        <v>830</v>
      </c>
      <c r="C75" s="80" t="s">
        <v>671</v>
      </c>
      <c r="D75" s="80">
        <v>20</v>
      </c>
      <c r="E75" s="80" t="s">
        <v>831</v>
      </c>
      <c r="F75" s="81">
        <v>17.91</v>
      </c>
      <c r="G75" s="92">
        <f>Plan1!D75*Plan1!F75</f>
        <v>358.2</v>
      </c>
    </row>
    <row r="76" spans="1:7" ht="15" customHeight="1">
      <c r="A76" s="75" t="s">
        <v>832</v>
      </c>
      <c r="B76" s="79" t="s">
        <v>833</v>
      </c>
      <c r="C76" s="80" t="s">
        <v>671</v>
      </c>
      <c r="D76" s="80">
        <v>20</v>
      </c>
      <c r="E76" s="80" t="s">
        <v>834</v>
      </c>
      <c r="F76" s="91">
        <v>20.41</v>
      </c>
      <c r="G76" s="92">
        <f>Plan1!D76*Plan1!F76</f>
        <v>408.2</v>
      </c>
    </row>
    <row r="77" spans="1:7" ht="15" customHeight="1">
      <c r="A77" s="75" t="s">
        <v>835</v>
      </c>
      <c r="B77" s="79" t="s">
        <v>836</v>
      </c>
      <c r="C77" s="80" t="s">
        <v>671</v>
      </c>
      <c r="D77" s="80">
        <v>20</v>
      </c>
      <c r="E77" s="80" t="s">
        <v>837</v>
      </c>
      <c r="F77" s="91">
        <v>12.43</v>
      </c>
      <c r="G77" s="92">
        <f>Plan1!D77*Plan1!F77</f>
        <v>248.6</v>
      </c>
    </row>
    <row r="78" spans="1:7" ht="15" customHeight="1">
      <c r="A78" s="75" t="s">
        <v>838</v>
      </c>
      <c r="B78" s="79" t="s">
        <v>839</v>
      </c>
      <c r="C78" s="80" t="s">
        <v>671</v>
      </c>
      <c r="D78" s="80">
        <v>600</v>
      </c>
      <c r="E78" s="80" t="s">
        <v>840</v>
      </c>
      <c r="F78" s="81">
        <v>7.93</v>
      </c>
      <c r="G78" s="82">
        <f>Plan1!D78*Plan1!F78</f>
        <v>4758</v>
      </c>
    </row>
    <row r="79" spans="1:7" ht="15" customHeight="1">
      <c r="A79" s="75" t="s">
        <v>841</v>
      </c>
      <c r="B79" s="79" t="s">
        <v>842</v>
      </c>
      <c r="C79" s="80" t="s">
        <v>671</v>
      </c>
      <c r="D79" s="80">
        <v>80</v>
      </c>
      <c r="E79" s="80" t="s">
        <v>843</v>
      </c>
      <c r="F79" s="91">
        <v>22.51</v>
      </c>
      <c r="G79" s="92">
        <f>Plan1!D79*Plan1!F79</f>
        <v>1800.8000000000002</v>
      </c>
    </row>
    <row r="80" spans="1:7" ht="15" customHeight="1">
      <c r="A80" s="75" t="s">
        <v>844</v>
      </c>
      <c r="B80" s="79" t="s">
        <v>845</v>
      </c>
      <c r="C80" s="80" t="s">
        <v>671</v>
      </c>
      <c r="D80" s="80">
        <v>1000</v>
      </c>
      <c r="E80" s="80" t="s">
        <v>846</v>
      </c>
      <c r="F80" s="91">
        <v>6.71</v>
      </c>
      <c r="G80" s="92">
        <f>Plan1!D80*Plan1!F80</f>
        <v>6710</v>
      </c>
    </row>
    <row r="81" spans="1:7" ht="15" customHeight="1">
      <c r="A81" s="75" t="s">
        <v>847</v>
      </c>
      <c r="B81" s="94" t="s">
        <v>848</v>
      </c>
      <c r="C81" s="80" t="s">
        <v>671</v>
      </c>
      <c r="D81" s="80">
        <v>1000</v>
      </c>
      <c r="E81" s="80" t="s">
        <v>849</v>
      </c>
      <c r="F81" s="91">
        <v>5.31</v>
      </c>
      <c r="G81" s="92">
        <f>Plan1!D81*Plan1!F81</f>
        <v>5310</v>
      </c>
    </row>
    <row r="82" spans="1:7" ht="15" customHeight="1">
      <c r="A82" s="75" t="s">
        <v>850</v>
      </c>
      <c r="B82" s="79" t="s">
        <v>851</v>
      </c>
      <c r="C82" s="83" t="s">
        <v>671</v>
      </c>
      <c r="D82" s="80">
        <v>350</v>
      </c>
      <c r="E82" s="80" t="s">
        <v>852</v>
      </c>
      <c r="F82" s="91">
        <v>4.48</v>
      </c>
      <c r="G82" s="92">
        <f>Plan1!D82*Plan1!F82</f>
        <v>1568.0000000000002</v>
      </c>
    </row>
    <row r="83" spans="1:7" ht="15" customHeight="1">
      <c r="A83" s="75" t="s">
        <v>853</v>
      </c>
      <c r="B83" s="79" t="s">
        <v>854</v>
      </c>
      <c r="C83" s="83" t="s">
        <v>674</v>
      </c>
      <c r="D83" s="80">
        <v>150</v>
      </c>
      <c r="E83" s="80" t="s">
        <v>855</v>
      </c>
      <c r="F83" s="91">
        <v>7.73</v>
      </c>
      <c r="G83" s="92">
        <f>Plan1!D83*Plan1!F83</f>
        <v>1159.5</v>
      </c>
    </row>
    <row r="84" spans="1:7" ht="25.5" customHeight="1">
      <c r="A84" s="75" t="s">
        <v>856</v>
      </c>
      <c r="B84" s="94" t="s">
        <v>857</v>
      </c>
      <c r="C84" s="80" t="s">
        <v>739</v>
      </c>
      <c r="D84" s="87">
        <v>15</v>
      </c>
      <c r="E84" s="83" t="s">
        <v>858</v>
      </c>
      <c r="F84" s="91">
        <v>148.52</v>
      </c>
      <c r="G84" s="92">
        <f>Plan1!D84*Plan1!F84</f>
        <v>2227.8</v>
      </c>
    </row>
    <row r="85" spans="1:7" ht="25.5" customHeight="1">
      <c r="A85" s="75" t="s">
        <v>859</v>
      </c>
      <c r="B85" s="94" t="s">
        <v>860</v>
      </c>
      <c r="C85" s="80" t="s">
        <v>739</v>
      </c>
      <c r="D85" s="87">
        <v>3</v>
      </c>
      <c r="E85" s="83" t="s">
        <v>861</v>
      </c>
      <c r="F85" s="91">
        <v>258.52</v>
      </c>
      <c r="G85" s="92">
        <f>Plan1!D85*Plan1!F85</f>
        <v>775.56</v>
      </c>
    </row>
    <row r="86" spans="1:7" ht="38.25" customHeight="1">
      <c r="A86" s="75" t="s">
        <v>862</v>
      </c>
      <c r="B86" s="94" t="s">
        <v>863</v>
      </c>
      <c r="C86" s="80" t="s">
        <v>739</v>
      </c>
      <c r="D86" s="87">
        <v>15</v>
      </c>
      <c r="E86" s="83" t="s">
        <v>864</v>
      </c>
      <c r="F86" s="91">
        <v>103.52</v>
      </c>
      <c r="G86" s="92">
        <f>Plan1!D86*Plan1!F86</f>
        <v>1552.8</v>
      </c>
    </row>
    <row r="87" spans="1:7" ht="38.25" customHeight="1">
      <c r="A87" s="75" t="s">
        <v>865</v>
      </c>
      <c r="B87" s="94" t="s">
        <v>866</v>
      </c>
      <c r="C87" s="80" t="s">
        <v>739</v>
      </c>
      <c r="D87" s="87">
        <v>3</v>
      </c>
      <c r="E87" s="83" t="s">
        <v>867</v>
      </c>
      <c r="F87" s="91">
        <v>163.52</v>
      </c>
      <c r="G87" s="92">
        <f>Plan1!D87*Plan1!F87</f>
        <v>490.56000000000006</v>
      </c>
    </row>
    <row r="88" spans="1:7" ht="15" customHeight="1">
      <c r="A88" s="75" t="s">
        <v>868</v>
      </c>
      <c r="B88" s="90" t="s">
        <v>869</v>
      </c>
      <c r="C88" s="80" t="s">
        <v>739</v>
      </c>
      <c r="D88" s="87">
        <v>36</v>
      </c>
      <c r="E88" s="83" t="s">
        <v>870</v>
      </c>
      <c r="F88" s="91">
        <v>31.43</v>
      </c>
      <c r="G88" s="92">
        <f>Plan1!D88*Plan1!F88</f>
        <v>1131.48</v>
      </c>
    </row>
    <row r="89" spans="1:7" ht="15" customHeight="1">
      <c r="A89" s="75" t="s">
        <v>871</v>
      </c>
      <c r="B89" s="90" t="s">
        <v>872</v>
      </c>
      <c r="C89" s="80" t="s">
        <v>739</v>
      </c>
      <c r="D89" s="87">
        <v>18</v>
      </c>
      <c r="E89" s="80" t="s">
        <v>701</v>
      </c>
      <c r="F89" s="91">
        <v>56.15</v>
      </c>
      <c r="G89" s="92">
        <f>Plan1!D89*Plan1!F89</f>
        <v>1010.6999999999999</v>
      </c>
    </row>
    <row r="90" spans="1:7" ht="15" customHeight="1">
      <c r="A90" s="75" t="s">
        <v>873</v>
      </c>
      <c r="B90" s="94" t="s">
        <v>874</v>
      </c>
      <c r="C90" s="83" t="s">
        <v>739</v>
      </c>
      <c r="D90" s="87">
        <v>500</v>
      </c>
      <c r="E90" s="83" t="s">
        <v>875</v>
      </c>
      <c r="F90" s="91">
        <v>2.84</v>
      </c>
      <c r="G90" s="92">
        <f>Plan1!D90*Plan1!F90</f>
        <v>1420</v>
      </c>
    </row>
    <row r="91" spans="1:7" ht="15" customHeight="1">
      <c r="A91" s="75" t="s">
        <v>876</v>
      </c>
      <c r="B91" s="94" t="s">
        <v>877</v>
      </c>
      <c r="C91" s="80" t="s">
        <v>739</v>
      </c>
      <c r="D91" s="83">
        <v>2700</v>
      </c>
      <c r="E91" s="83" t="s">
        <v>878</v>
      </c>
      <c r="F91" s="91">
        <v>2.13</v>
      </c>
      <c r="G91" s="92">
        <f>Plan1!D91*Plan1!F91</f>
        <v>5751</v>
      </c>
    </row>
    <row r="92" spans="1:7" ht="15" customHeight="1">
      <c r="A92" s="75" t="s">
        <v>879</v>
      </c>
      <c r="B92" s="94" t="s">
        <v>880</v>
      </c>
      <c r="C92" s="83" t="s">
        <v>739</v>
      </c>
      <c r="D92" s="87">
        <v>1000</v>
      </c>
      <c r="E92" s="80" t="s">
        <v>881</v>
      </c>
      <c r="F92" s="91">
        <v>1.56</v>
      </c>
      <c r="G92" s="92">
        <f>Plan1!D92*Plan1!F92</f>
        <v>1560</v>
      </c>
    </row>
    <row r="93" spans="1:7" ht="15" customHeight="1">
      <c r="A93" s="75" t="s">
        <v>882</v>
      </c>
      <c r="B93" s="94" t="s">
        <v>883</v>
      </c>
      <c r="C93" s="83" t="s">
        <v>739</v>
      </c>
      <c r="D93" s="87">
        <v>100</v>
      </c>
      <c r="E93" s="80" t="s">
        <v>763</v>
      </c>
      <c r="F93" s="91">
        <v>1.68</v>
      </c>
      <c r="G93" s="92">
        <f>Plan1!D93*Plan1!F93</f>
        <v>168</v>
      </c>
    </row>
    <row r="94" spans="1:7" ht="15" customHeight="1">
      <c r="A94" s="88"/>
      <c r="B94" s="94" t="s">
        <v>884</v>
      </c>
      <c r="C94" s="83" t="s">
        <v>133</v>
      </c>
      <c r="D94" s="87">
        <v>1200</v>
      </c>
      <c r="E94" s="80" t="s">
        <v>885</v>
      </c>
      <c r="F94" s="91">
        <v>7.35</v>
      </c>
      <c r="G94" s="92">
        <f>Plan1!D94*Plan1!F94</f>
        <v>8820</v>
      </c>
    </row>
    <row r="95" spans="1:7" ht="15" customHeight="1">
      <c r="A95" s="75" t="s">
        <v>886</v>
      </c>
      <c r="B95" s="94" t="s">
        <v>887</v>
      </c>
      <c r="C95" s="83" t="s">
        <v>739</v>
      </c>
      <c r="D95" s="87">
        <v>100</v>
      </c>
      <c r="E95" s="80" t="s">
        <v>888</v>
      </c>
      <c r="F95" s="91">
        <v>4.31</v>
      </c>
      <c r="G95" s="92">
        <f>Plan1!D95*Plan1!F95</f>
        <v>430.99999999999994</v>
      </c>
    </row>
    <row r="96" spans="1:7" ht="15" customHeight="1">
      <c r="A96" s="88"/>
      <c r="B96" s="737" t="s">
        <v>668</v>
      </c>
      <c r="C96" s="737"/>
      <c r="D96" s="737"/>
      <c r="E96" s="737"/>
      <c r="F96" s="737"/>
      <c r="G96" s="95">
        <f>SUM(Plan1!G14:G95)</f>
        <v>1226585.1700000004</v>
      </c>
    </row>
    <row r="97" spans="1:7" ht="15" customHeight="1">
      <c r="A97" s="75" t="s">
        <v>90</v>
      </c>
      <c r="B97" s="736" t="s">
        <v>889</v>
      </c>
      <c r="C97" s="736"/>
      <c r="D97" s="736"/>
      <c r="E97" s="736"/>
      <c r="F97" s="736"/>
      <c r="G97" s="736"/>
    </row>
    <row r="98" spans="1:7" ht="25.5" customHeight="1">
      <c r="A98" s="75" t="s">
        <v>92</v>
      </c>
      <c r="B98" s="94" t="s">
        <v>890</v>
      </c>
      <c r="C98" s="80" t="s">
        <v>715</v>
      </c>
      <c r="D98" s="87">
        <v>500</v>
      </c>
      <c r="E98" s="80" t="s">
        <v>891</v>
      </c>
      <c r="F98" s="91">
        <f>5.08*3</f>
        <v>15.24</v>
      </c>
      <c r="G98" s="92">
        <f>Plan1!D98*Plan1!F98</f>
        <v>7620</v>
      </c>
    </row>
    <row r="99" spans="1:7" ht="25.5" customHeight="1">
      <c r="A99" s="75" t="s">
        <v>96</v>
      </c>
      <c r="B99" s="94" t="s">
        <v>892</v>
      </c>
      <c r="C99" s="83" t="s">
        <v>893</v>
      </c>
      <c r="D99" s="87">
        <v>413</v>
      </c>
      <c r="E99" s="80" t="s">
        <v>894</v>
      </c>
      <c r="F99" s="91">
        <v>6.78</v>
      </c>
      <c r="G99" s="92">
        <f>Plan1!D99*Plan1!F99</f>
        <v>2800.1400000000003</v>
      </c>
    </row>
    <row r="100" spans="1:7" ht="25.5" customHeight="1">
      <c r="A100" s="75" t="s">
        <v>99</v>
      </c>
      <c r="B100" s="94" t="s">
        <v>895</v>
      </c>
      <c r="C100" s="83" t="s">
        <v>133</v>
      </c>
      <c r="D100" s="87">
        <v>631.04</v>
      </c>
      <c r="E100" s="80" t="s">
        <v>896</v>
      </c>
      <c r="F100" s="91">
        <v>2.84</v>
      </c>
      <c r="G100" s="92">
        <f>Plan1!D100*Plan1!F100</f>
        <v>1792.1535999999999</v>
      </c>
    </row>
    <row r="101" spans="1:7" ht="25.5" customHeight="1">
      <c r="A101" s="75" t="s">
        <v>102</v>
      </c>
      <c r="B101" s="94" t="s">
        <v>897</v>
      </c>
      <c r="C101" s="83" t="s">
        <v>133</v>
      </c>
      <c r="D101" s="87">
        <v>1037.33</v>
      </c>
      <c r="E101" s="80" t="s">
        <v>896</v>
      </c>
      <c r="F101" s="91">
        <v>2.84</v>
      </c>
      <c r="G101" s="92">
        <f>Plan1!D101*Plan1!F101</f>
        <v>2946.0172</v>
      </c>
    </row>
    <row r="102" spans="1:7" ht="25.5" customHeight="1">
      <c r="A102" s="75" t="s">
        <v>104</v>
      </c>
      <c r="B102" s="94" t="s">
        <v>898</v>
      </c>
      <c r="C102" s="83" t="s">
        <v>133</v>
      </c>
      <c r="D102" s="87">
        <v>1083.8</v>
      </c>
      <c r="E102" s="80" t="s">
        <v>896</v>
      </c>
      <c r="F102" s="91">
        <v>2.84</v>
      </c>
      <c r="G102" s="92">
        <f>Plan1!D102*Plan1!F102</f>
        <v>3077.9919999999997</v>
      </c>
    </row>
    <row r="103" spans="1:7" ht="25.5" customHeight="1">
      <c r="A103" s="75" t="s">
        <v>899</v>
      </c>
      <c r="B103" s="94" t="s">
        <v>900</v>
      </c>
      <c r="C103" s="83" t="s">
        <v>133</v>
      </c>
      <c r="D103" s="87">
        <f>2256.33+200</f>
        <v>2456.33</v>
      </c>
      <c r="E103" s="80" t="s">
        <v>901</v>
      </c>
      <c r="F103" s="91">
        <v>3.09</v>
      </c>
      <c r="G103" s="92">
        <f>Plan1!D103*Plan1!F103</f>
        <v>7590.0597</v>
      </c>
    </row>
    <row r="104" spans="1:7" ht="25.5" customHeight="1">
      <c r="A104" s="75" t="s">
        <v>902</v>
      </c>
      <c r="B104" s="94" t="s">
        <v>903</v>
      </c>
      <c r="C104" s="83" t="s">
        <v>133</v>
      </c>
      <c r="D104" s="87">
        <f>2256.33+200</f>
        <v>2456.33</v>
      </c>
      <c r="E104" s="80" t="s">
        <v>901</v>
      </c>
      <c r="F104" s="91">
        <v>3.09</v>
      </c>
      <c r="G104" s="92">
        <f>Plan1!D104*Plan1!F104</f>
        <v>7590.0597</v>
      </c>
    </row>
    <row r="105" spans="1:7" ht="25.5" customHeight="1">
      <c r="A105" s="75" t="s">
        <v>904</v>
      </c>
      <c r="B105" s="94" t="s">
        <v>905</v>
      </c>
      <c r="C105" s="83" t="s">
        <v>133</v>
      </c>
      <c r="D105" s="87">
        <f>1261.13+200</f>
        <v>1461.13</v>
      </c>
      <c r="E105" s="80" t="s">
        <v>901</v>
      </c>
      <c r="F105" s="91">
        <v>3.09</v>
      </c>
      <c r="G105" s="92">
        <f>Plan1!D105*Plan1!F105</f>
        <v>4514.8917</v>
      </c>
    </row>
    <row r="106" spans="1:7" ht="25.5" customHeight="1">
      <c r="A106" s="75" t="s">
        <v>906</v>
      </c>
      <c r="B106" s="94" t="s">
        <v>907</v>
      </c>
      <c r="C106" s="83" t="s">
        <v>133</v>
      </c>
      <c r="D106" s="87">
        <v>500</v>
      </c>
      <c r="E106" s="80" t="s">
        <v>908</v>
      </c>
      <c r="F106" s="91">
        <v>3.55</v>
      </c>
      <c r="G106" s="92">
        <f>Plan1!D106*Plan1!F106</f>
        <v>1775</v>
      </c>
    </row>
    <row r="107" spans="1:7" ht="25.5" customHeight="1">
      <c r="A107" s="75" t="s">
        <v>909</v>
      </c>
      <c r="B107" s="94" t="s">
        <v>910</v>
      </c>
      <c r="C107" s="83" t="s">
        <v>133</v>
      </c>
      <c r="D107" s="87">
        <v>500</v>
      </c>
      <c r="E107" s="80" t="s">
        <v>908</v>
      </c>
      <c r="F107" s="91">
        <v>3.55</v>
      </c>
      <c r="G107" s="92">
        <f>Plan1!D107*Plan1!F107</f>
        <v>1775</v>
      </c>
    </row>
    <row r="108" spans="1:7" ht="25.5" customHeight="1">
      <c r="A108" s="75" t="s">
        <v>911</v>
      </c>
      <c r="B108" s="94" t="s">
        <v>912</v>
      </c>
      <c r="C108" s="83" t="s">
        <v>133</v>
      </c>
      <c r="D108" s="87">
        <v>500</v>
      </c>
      <c r="E108" s="80" t="s">
        <v>908</v>
      </c>
      <c r="F108" s="91">
        <v>3.55</v>
      </c>
      <c r="G108" s="92">
        <f>Plan1!D108*Plan1!F108</f>
        <v>1775</v>
      </c>
    </row>
    <row r="109" spans="1:7" ht="25.5" customHeight="1">
      <c r="A109" s="75" t="s">
        <v>913</v>
      </c>
      <c r="B109" s="94" t="s">
        <v>914</v>
      </c>
      <c r="C109" s="83" t="s">
        <v>133</v>
      </c>
      <c r="D109" s="87">
        <v>900</v>
      </c>
      <c r="E109" s="80" t="s">
        <v>915</v>
      </c>
      <c r="F109" s="91">
        <v>4.19</v>
      </c>
      <c r="G109" s="92">
        <f>Plan1!D109*Plan1!F109</f>
        <v>3771.0000000000005</v>
      </c>
    </row>
    <row r="110" spans="1:7" ht="25.5" customHeight="1">
      <c r="A110" s="75" t="s">
        <v>916</v>
      </c>
      <c r="B110" s="94" t="s">
        <v>917</v>
      </c>
      <c r="C110" s="83" t="s">
        <v>133</v>
      </c>
      <c r="D110" s="87">
        <v>900</v>
      </c>
      <c r="E110" s="80" t="s">
        <v>915</v>
      </c>
      <c r="F110" s="91">
        <v>4.19</v>
      </c>
      <c r="G110" s="92">
        <f>Plan1!D110*Plan1!F110</f>
        <v>3771.0000000000005</v>
      </c>
    </row>
    <row r="111" spans="1:7" ht="25.5" customHeight="1">
      <c r="A111" s="75" t="s">
        <v>918</v>
      </c>
      <c r="B111" s="94" t="s">
        <v>919</v>
      </c>
      <c r="C111" s="83" t="s">
        <v>133</v>
      </c>
      <c r="D111" s="87">
        <v>900</v>
      </c>
      <c r="E111" s="80" t="s">
        <v>915</v>
      </c>
      <c r="F111" s="91">
        <v>4.19</v>
      </c>
      <c r="G111" s="92">
        <f>Plan1!D111*Plan1!F111</f>
        <v>3771.0000000000005</v>
      </c>
    </row>
    <row r="112" spans="1:7" ht="25.5" customHeight="1">
      <c r="A112" s="75" t="s">
        <v>920</v>
      </c>
      <c r="B112" s="94" t="s">
        <v>921</v>
      </c>
      <c r="C112" s="83" t="s">
        <v>133</v>
      </c>
      <c r="D112" s="87">
        <v>400</v>
      </c>
      <c r="E112" s="80" t="s">
        <v>922</v>
      </c>
      <c r="F112" s="91">
        <v>7.76</v>
      </c>
      <c r="G112" s="92">
        <f>Plan1!D112*Plan1!F112</f>
        <v>3104</v>
      </c>
    </row>
    <row r="113" spans="1:7" ht="25.5" customHeight="1">
      <c r="A113" s="75" t="s">
        <v>923</v>
      </c>
      <c r="B113" s="94" t="s">
        <v>924</v>
      </c>
      <c r="C113" s="83" t="s">
        <v>133</v>
      </c>
      <c r="D113" s="87">
        <v>400</v>
      </c>
      <c r="E113" s="80" t="s">
        <v>922</v>
      </c>
      <c r="F113" s="91">
        <v>7.76</v>
      </c>
      <c r="G113" s="92">
        <f>Plan1!D113*Plan1!F113</f>
        <v>3104</v>
      </c>
    </row>
    <row r="114" spans="1:7" ht="25.5" customHeight="1">
      <c r="A114" s="75" t="s">
        <v>925</v>
      </c>
      <c r="B114" s="94" t="s">
        <v>926</v>
      </c>
      <c r="C114" s="83" t="s">
        <v>133</v>
      </c>
      <c r="D114" s="87">
        <v>400</v>
      </c>
      <c r="E114" s="80" t="s">
        <v>922</v>
      </c>
      <c r="F114" s="91">
        <v>7.76</v>
      </c>
      <c r="G114" s="92">
        <f>Plan1!D114*Plan1!F114</f>
        <v>3104</v>
      </c>
    </row>
    <row r="115" spans="1:7" ht="25.5" customHeight="1">
      <c r="A115" s="75" t="s">
        <v>927</v>
      </c>
      <c r="B115" s="94" t="s">
        <v>928</v>
      </c>
      <c r="C115" s="83" t="s">
        <v>133</v>
      </c>
      <c r="D115" s="87">
        <v>600</v>
      </c>
      <c r="E115" s="83" t="s">
        <v>929</v>
      </c>
      <c r="F115" s="91">
        <v>5.92</v>
      </c>
      <c r="G115" s="92">
        <f>Plan1!D115*Plan1!F115</f>
        <v>3552</v>
      </c>
    </row>
    <row r="116" spans="1:7" ht="25.5" customHeight="1">
      <c r="A116" s="75" t="s">
        <v>930</v>
      </c>
      <c r="B116" s="94" t="s">
        <v>931</v>
      </c>
      <c r="C116" s="83" t="s">
        <v>133</v>
      </c>
      <c r="D116" s="87">
        <v>600</v>
      </c>
      <c r="E116" s="83" t="s">
        <v>929</v>
      </c>
      <c r="F116" s="91">
        <v>5.92</v>
      </c>
      <c r="G116" s="92">
        <f>Plan1!D116*Plan1!F116</f>
        <v>3552</v>
      </c>
    </row>
    <row r="117" spans="1:7" ht="25.5" customHeight="1">
      <c r="A117" s="75" t="s">
        <v>932</v>
      </c>
      <c r="B117" s="94" t="s">
        <v>933</v>
      </c>
      <c r="C117" s="83" t="s">
        <v>133</v>
      </c>
      <c r="D117" s="87">
        <v>600</v>
      </c>
      <c r="E117" s="83" t="s">
        <v>929</v>
      </c>
      <c r="F117" s="91">
        <v>5.92</v>
      </c>
      <c r="G117" s="92">
        <f>Plan1!D117*Plan1!F117</f>
        <v>3552</v>
      </c>
    </row>
    <row r="118" spans="1:7" ht="25.5" customHeight="1">
      <c r="A118" s="75" t="s">
        <v>934</v>
      </c>
      <c r="B118" s="94" t="s">
        <v>935</v>
      </c>
      <c r="C118" s="83" t="s">
        <v>739</v>
      </c>
      <c r="D118" s="87">
        <v>549</v>
      </c>
      <c r="E118" s="83" t="s">
        <v>391</v>
      </c>
      <c r="F118" s="91">
        <v>8.05</v>
      </c>
      <c r="G118" s="92">
        <f>Plan1!D118*Plan1!F118</f>
        <v>4419.450000000001</v>
      </c>
    </row>
    <row r="119" spans="1:7" ht="25.5" customHeight="1">
      <c r="A119" s="75" t="s">
        <v>936</v>
      </c>
      <c r="B119" s="94" t="s">
        <v>937</v>
      </c>
      <c r="C119" s="83" t="s">
        <v>739</v>
      </c>
      <c r="D119" s="87">
        <v>437</v>
      </c>
      <c r="E119" s="83" t="s">
        <v>938</v>
      </c>
      <c r="F119" s="91">
        <v>5.93</v>
      </c>
      <c r="G119" s="92">
        <f>Plan1!D119*Plan1!F119</f>
        <v>2591.41</v>
      </c>
    </row>
    <row r="120" spans="1:7" ht="25.5" customHeight="1">
      <c r="A120" s="75" t="s">
        <v>939</v>
      </c>
      <c r="B120" s="94" t="s">
        <v>940</v>
      </c>
      <c r="C120" s="83" t="s">
        <v>739</v>
      </c>
      <c r="D120" s="87">
        <v>60</v>
      </c>
      <c r="E120" s="80" t="s">
        <v>941</v>
      </c>
      <c r="F120" s="91">
        <v>5.93</v>
      </c>
      <c r="G120" s="92">
        <f>Plan1!D120*Plan1!F120</f>
        <v>355.79999999999995</v>
      </c>
    </row>
    <row r="121" spans="1:7" ht="15" customHeight="1">
      <c r="A121" s="75" t="s">
        <v>942</v>
      </c>
      <c r="B121" s="94" t="s">
        <v>943</v>
      </c>
      <c r="C121" s="83" t="s">
        <v>739</v>
      </c>
      <c r="D121" s="87">
        <v>22</v>
      </c>
      <c r="E121" s="80" t="s">
        <v>944</v>
      </c>
      <c r="F121" s="91">
        <v>27.3</v>
      </c>
      <c r="G121" s="92">
        <f>Plan1!D121*Plan1!F121</f>
        <v>600.6</v>
      </c>
    </row>
    <row r="122" spans="1:7" ht="15" customHeight="1">
      <c r="A122" s="75" t="s">
        <v>945</v>
      </c>
      <c r="B122" s="94" t="s">
        <v>946</v>
      </c>
      <c r="C122" s="83" t="s">
        <v>739</v>
      </c>
      <c r="D122" s="87">
        <v>26</v>
      </c>
      <c r="E122" s="80" t="s">
        <v>947</v>
      </c>
      <c r="F122" s="91">
        <v>37.15</v>
      </c>
      <c r="G122" s="92">
        <f>Plan1!D122*Plan1!F122</f>
        <v>965.9</v>
      </c>
    </row>
    <row r="123" spans="1:7" ht="25.5" customHeight="1">
      <c r="A123" s="75" t="s">
        <v>948</v>
      </c>
      <c r="B123" s="94" t="s">
        <v>949</v>
      </c>
      <c r="C123" s="83" t="s">
        <v>739</v>
      </c>
      <c r="D123" s="87">
        <f>415+68+426</f>
        <v>909</v>
      </c>
      <c r="E123" s="80" t="s">
        <v>749</v>
      </c>
      <c r="F123" s="91">
        <v>12.93</v>
      </c>
      <c r="G123" s="92">
        <f>Plan1!D123*Plan1!F123</f>
        <v>11753.369999999999</v>
      </c>
    </row>
    <row r="124" spans="1:7" ht="25.5" customHeight="1">
      <c r="A124" s="75" t="s">
        <v>950</v>
      </c>
      <c r="B124" s="94" t="s">
        <v>951</v>
      </c>
      <c r="C124" s="83" t="s">
        <v>739</v>
      </c>
      <c r="D124" s="87">
        <v>307</v>
      </c>
      <c r="E124" s="80" t="s">
        <v>952</v>
      </c>
      <c r="F124" s="91">
        <v>104.99</v>
      </c>
      <c r="G124" s="92">
        <f>Plan1!D124*Plan1!F124</f>
        <v>32231.929999999997</v>
      </c>
    </row>
    <row r="125" spans="1:7" ht="15" customHeight="1">
      <c r="A125" s="75" t="s">
        <v>953</v>
      </c>
      <c r="B125" s="94" t="s">
        <v>954</v>
      </c>
      <c r="C125" s="83" t="s">
        <v>739</v>
      </c>
      <c r="D125" s="87">
        <v>19</v>
      </c>
      <c r="E125" s="80" t="s">
        <v>955</v>
      </c>
      <c r="F125" s="91">
        <v>114.99</v>
      </c>
      <c r="G125" s="92">
        <f>Plan1!D125*Plan1!F125</f>
        <v>2184.81</v>
      </c>
    </row>
    <row r="126" spans="1:7" ht="38.25" customHeight="1">
      <c r="A126" s="75" t="s">
        <v>956</v>
      </c>
      <c r="B126" s="94" t="s">
        <v>957</v>
      </c>
      <c r="C126" s="83" t="s">
        <v>739</v>
      </c>
      <c r="D126" s="87">
        <v>16</v>
      </c>
      <c r="E126" s="80" t="s">
        <v>958</v>
      </c>
      <c r="F126" s="91">
        <v>39.99</v>
      </c>
      <c r="G126" s="92">
        <f>Plan1!D126*Plan1!F126</f>
        <v>639.84</v>
      </c>
    </row>
    <row r="127" spans="1:7" ht="15" customHeight="1">
      <c r="A127" s="75" t="s">
        <v>959</v>
      </c>
      <c r="B127" s="94" t="s">
        <v>960</v>
      </c>
      <c r="C127" s="83" t="s">
        <v>739</v>
      </c>
      <c r="D127" s="87">
        <v>84</v>
      </c>
      <c r="E127" s="80" t="s">
        <v>961</v>
      </c>
      <c r="F127" s="91">
        <v>69.99</v>
      </c>
      <c r="G127" s="92">
        <f>Plan1!D127*Plan1!F127</f>
        <v>5879.16</v>
      </c>
    </row>
    <row r="128" spans="1:7" ht="25.5" customHeight="1">
      <c r="A128" s="75" t="s">
        <v>962</v>
      </c>
      <c r="B128" s="94" t="s">
        <v>963</v>
      </c>
      <c r="C128" s="83" t="s">
        <v>739</v>
      </c>
      <c r="D128" s="87">
        <v>326</v>
      </c>
      <c r="E128" s="80" t="s">
        <v>964</v>
      </c>
      <c r="F128" s="91">
        <v>81.99</v>
      </c>
      <c r="G128" s="92">
        <f>Plan1!D128*Plan1!F128</f>
        <v>26728.739999999998</v>
      </c>
    </row>
    <row r="129" spans="1:7" ht="25.5" customHeight="1">
      <c r="A129" s="75" t="s">
        <v>965</v>
      </c>
      <c r="B129" s="94" t="s">
        <v>966</v>
      </c>
      <c r="C129" s="83" t="s">
        <v>739</v>
      </c>
      <c r="D129" s="87">
        <v>84</v>
      </c>
      <c r="E129" s="80" t="s">
        <v>967</v>
      </c>
      <c r="F129" s="91">
        <v>44.99</v>
      </c>
      <c r="G129" s="92">
        <f>Plan1!D129*Plan1!F129</f>
        <v>3779.1600000000003</v>
      </c>
    </row>
    <row r="130" spans="1:7" ht="15" customHeight="1">
      <c r="A130" s="75" t="s">
        <v>968</v>
      </c>
      <c r="B130" s="94" t="s">
        <v>969</v>
      </c>
      <c r="C130" s="83" t="s">
        <v>739</v>
      </c>
      <c r="D130" s="87">
        <v>836</v>
      </c>
      <c r="E130" s="80" t="s">
        <v>970</v>
      </c>
      <c r="F130" s="91">
        <v>7.49</v>
      </c>
      <c r="G130" s="92">
        <f>Plan1!D130*Plan1!F130</f>
        <v>6261.64</v>
      </c>
    </row>
    <row r="131" spans="1:7" ht="15" customHeight="1">
      <c r="A131" s="75" t="s">
        <v>971</v>
      </c>
      <c r="B131" s="94" t="s">
        <v>972</v>
      </c>
      <c r="C131" s="83" t="s">
        <v>739</v>
      </c>
      <c r="D131" s="87">
        <v>490</v>
      </c>
      <c r="E131" s="80" t="s">
        <v>973</v>
      </c>
      <c r="F131" s="91">
        <v>14.99</v>
      </c>
      <c r="G131" s="92">
        <f>Plan1!D131*Plan1!F131</f>
        <v>7345.1</v>
      </c>
    </row>
    <row r="132" spans="1:7" ht="15" customHeight="1">
      <c r="A132" s="75" t="s">
        <v>974</v>
      </c>
      <c r="B132" s="94" t="s">
        <v>975</v>
      </c>
      <c r="C132" s="83" t="s">
        <v>739</v>
      </c>
      <c r="D132" s="87">
        <v>32</v>
      </c>
      <c r="E132" s="80" t="s">
        <v>976</v>
      </c>
      <c r="F132" s="91">
        <v>17.99</v>
      </c>
      <c r="G132" s="92">
        <f>Plan1!D132*Plan1!F132</f>
        <v>575.68</v>
      </c>
    </row>
    <row r="133" spans="1:7" ht="15" customHeight="1">
      <c r="A133" s="75" t="s">
        <v>977</v>
      </c>
      <c r="B133" s="94" t="s">
        <v>880</v>
      </c>
      <c r="C133" s="83" t="s">
        <v>739</v>
      </c>
      <c r="D133" s="87">
        <v>550</v>
      </c>
      <c r="E133" s="80" t="s">
        <v>881</v>
      </c>
      <c r="F133" s="91">
        <v>1.56</v>
      </c>
      <c r="G133" s="92">
        <f>Plan1!D133*Plan1!F133</f>
        <v>858</v>
      </c>
    </row>
    <row r="134" spans="1:7" ht="15" customHeight="1">
      <c r="A134" s="75" t="s">
        <v>978</v>
      </c>
      <c r="B134" s="94" t="s">
        <v>877</v>
      </c>
      <c r="C134" s="83" t="s">
        <v>739</v>
      </c>
      <c r="D134" s="87">
        <v>780</v>
      </c>
      <c r="E134" s="83" t="s">
        <v>878</v>
      </c>
      <c r="F134" s="81">
        <v>2.13</v>
      </c>
      <c r="G134" s="92">
        <f>Plan1!D134*Plan1!F134</f>
        <v>1661.3999999999999</v>
      </c>
    </row>
    <row r="135" spans="1:7" ht="15" customHeight="1">
      <c r="A135" s="75" t="s">
        <v>979</v>
      </c>
      <c r="B135" s="94" t="s">
        <v>980</v>
      </c>
      <c r="C135" s="83" t="s">
        <v>739</v>
      </c>
      <c r="D135" s="87">
        <v>90</v>
      </c>
      <c r="E135" s="83" t="s">
        <v>875</v>
      </c>
      <c r="F135" s="91">
        <v>2.84</v>
      </c>
      <c r="G135" s="92">
        <f>Plan1!D135*Plan1!F135</f>
        <v>255.6</v>
      </c>
    </row>
    <row r="136" spans="1:7" ht="15" customHeight="1">
      <c r="A136" s="75" t="s">
        <v>981</v>
      </c>
      <c r="B136" s="94" t="s">
        <v>982</v>
      </c>
      <c r="C136" s="83" t="s">
        <v>739</v>
      </c>
      <c r="D136" s="87">
        <v>155</v>
      </c>
      <c r="E136" s="83" t="s">
        <v>179</v>
      </c>
      <c r="F136" s="91">
        <v>5.21</v>
      </c>
      <c r="G136" s="92">
        <f>Plan1!D136*Plan1!F136</f>
        <v>807.55</v>
      </c>
    </row>
    <row r="137" spans="1:7" ht="15" customHeight="1">
      <c r="A137" s="75" t="s">
        <v>983</v>
      </c>
      <c r="B137" s="94" t="s">
        <v>984</v>
      </c>
      <c r="C137" s="83" t="s">
        <v>739</v>
      </c>
      <c r="D137" s="87">
        <v>500</v>
      </c>
      <c r="E137" s="83" t="s">
        <v>985</v>
      </c>
      <c r="F137" s="91">
        <v>5.56</v>
      </c>
      <c r="G137" s="92">
        <f>Plan1!D137*Plan1!F137</f>
        <v>2780</v>
      </c>
    </row>
    <row r="138" spans="1:7" ht="25.5" customHeight="1">
      <c r="A138" s="75" t="s">
        <v>986</v>
      </c>
      <c r="B138" s="94" t="s">
        <v>987</v>
      </c>
      <c r="C138" s="83" t="s">
        <v>739</v>
      </c>
      <c r="D138" s="87">
        <v>23</v>
      </c>
      <c r="E138" s="80" t="s">
        <v>800</v>
      </c>
      <c r="F138" s="91">
        <v>142.52</v>
      </c>
      <c r="G138" s="92">
        <f>Plan1!D138*Plan1!F138</f>
        <v>3277.96</v>
      </c>
    </row>
    <row r="139" spans="1:7" ht="15" customHeight="1">
      <c r="A139" s="75" t="s">
        <v>988</v>
      </c>
      <c r="B139" s="94" t="s">
        <v>989</v>
      </c>
      <c r="C139" s="83" t="s">
        <v>739</v>
      </c>
      <c r="D139" s="87">
        <v>115</v>
      </c>
      <c r="E139" s="80" t="s">
        <v>990</v>
      </c>
      <c r="F139" s="91">
        <v>8.14</v>
      </c>
      <c r="G139" s="92">
        <f>Plan1!D139*Plan1!F139</f>
        <v>936.1</v>
      </c>
    </row>
    <row r="140" spans="1:7" ht="15" customHeight="1">
      <c r="A140" s="75" t="s">
        <v>991</v>
      </c>
      <c r="B140" s="94" t="s">
        <v>992</v>
      </c>
      <c r="C140" s="83" t="s">
        <v>739</v>
      </c>
      <c r="D140" s="87">
        <v>25</v>
      </c>
      <c r="E140" s="80" t="s">
        <v>993</v>
      </c>
      <c r="F140" s="91">
        <v>10.14</v>
      </c>
      <c r="G140" s="92">
        <f>Plan1!D140*Plan1!F140</f>
        <v>253.5</v>
      </c>
    </row>
    <row r="141" spans="1:7" ht="15" customHeight="1">
      <c r="A141" s="75" t="s">
        <v>994</v>
      </c>
      <c r="B141" s="94" t="s">
        <v>995</v>
      </c>
      <c r="C141" s="83" t="s">
        <v>739</v>
      </c>
      <c r="D141" s="87">
        <v>17</v>
      </c>
      <c r="E141" s="80" t="s">
        <v>209</v>
      </c>
      <c r="F141" s="91">
        <v>10.73</v>
      </c>
      <c r="G141" s="92">
        <f>Plan1!D141*Plan1!F141</f>
        <v>182.41</v>
      </c>
    </row>
    <row r="142" spans="1:7" ht="15" customHeight="1">
      <c r="A142" s="75" t="s">
        <v>996</v>
      </c>
      <c r="B142" s="94" t="s">
        <v>997</v>
      </c>
      <c r="C142" s="83" t="s">
        <v>739</v>
      </c>
      <c r="D142" s="87">
        <v>2</v>
      </c>
      <c r="E142" s="83" t="s">
        <v>998</v>
      </c>
      <c r="F142" s="91">
        <v>11.52</v>
      </c>
      <c r="G142" s="92">
        <f>Plan1!D142*Plan1!F142</f>
        <v>23.04</v>
      </c>
    </row>
    <row r="143" spans="1:7" ht="15" customHeight="1">
      <c r="A143" s="75" t="s">
        <v>999</v>
      </c>
      <c r="B143" s="94" t="s">
        <v>1000</v>
      </c>
      <c r="C143" s="83" t="s">
        <v>739</v>
      </c>
      <c r="D143" s="87">
        <v>32</v>
      </c>
      <c r="E143" s="80" t="s">
        <v>1001</v>
      </c>
      <c r="F143" s="91">
        <v>15.14</v>
      </c>
      <c r="G143" s="92">
        <f>Plan1!D143*Plan1!F143</f>
        <v>484.48</v>
      </c>
    </row>
    <row r="144" spans="1:7" ht="15" customHeight="1">
      <c r="A144" s="75" t="s">
        <v>1002</v>
      </c>
      <c r="B144" s="94" t="s">
        <v>1003</v>
      </c>
      <c r="C144" s="83" t="s">
        <v>739</v>
      </c>
      <c r="D144" s="87">
        <v>3</v>
      </c>
      <c r="E144" s="80" t="s">
        <v>1004</v>
      </c>
      <c r="F144" s="91">
        <v>392.14</v>
      </c>
      <c r="G144" s="92">
        <f>Plan1!D144*Plan1!F144</f>
        <v>1176.42</v>
      </c>
    </row>
    <row r="145" spans="1:7" ht="15" customHeight="1">
      <c r="A145" s="75" t="s">
        <v>1005</v>
      </c>
      <c r="B145" s="94" t="s">
        <v>1006</v>
      </c>
      <c r="C145" s="83" t="s">
        <v>739</v>
      </c>
      <c r="D145" s="87">
        <v>1</v>
      </c>
      <c r="E145" s="80" t="s">
        <v>1007</v>
      </c>
      <c r="F145" s="91">
        <v>92.14</v>
      </c>
      <c r="G145" s="92">
        <f>Plan1!D145*Plan1!F145</f>
        <v>92.14</v>
      </c>
    </row>
    <row r="146" spans="1:7" ht="15" customHeight="1">
      <c r="A146" s="75" t="s">
        <v>1008</v>
      </c>
      <c r="B146" s="94" t="s">
        <v>1009</v>
      </c>
      <c r="C146" s="83" t="s">
        <v>739</v>
      </c>
      <c r="D146" s="87">
        <v>20</v>
      </c>
      <c r="E146" s="80" t="s">
        <v>1010</v>
      </c>
      <c r="F146" s="91">
        <v>8.34</v>
      </c>
      <c r="G146" s="92">
        <f>Plan1!D146*Plan1!F146</f>
        <v>166.8</v>
      </c>
    </row>
    <row r="147" spans="1:7" ht="15" customHeight="1">
      <c r="A147" s="75" t="s">
        <v>1011</v>
      </c>
      <c r="B147" s="94" t="s">
        <v>1012</v>
      </c>
      <c r="C147" s="83" t="s">
        <v>739</v>
      </c>
      <c r="D147" s="87">
        <v>4</v>
      </c>
      <c r="E147" s="80" t="s">
        <v>812</v>
      </c>
      <c r="F147" s="91">
        <v>64.67</v>
      </c>
      <c r="G147" s="92">
        <f>Plan1!D147*Plan1!F147</f>
        <v>258.68</v>
      </c>
    </row>
    <row r="148" spans="1:7" ht="15" customHeight="1">
      <c r="A148" s="75" t="s">
        <v>1013</v>
      </c>
      <c r="B148" s="94" t="s">
        <v>1014</v>
      </c>
      <c r="C148" s="83" t="s">
        <v>739</v>
      </c>
      <c r="D148" s="87">
        <v>38</v>
      </c>
      <c r="E148" s="80" t="s">
        <v>1015</v>
      </c>
      <c r="F148" s="91">
        <v>48.84</v>
      </c>
      <c r="G148" s="92">
        <f>Plan1!D148*Plan1!F148</f>
        <v>1855.92</v>
      </c>
    </row>
    <row r="149" spans="1:7" ht="15" customHeight="1">
      <c r="A149" s="75" t="s">
        <v>1016</v>
      </c>
      <c r="B149" s="94" t="s">
        <v>1017</v>
      </c>
      <c r="C149" s="83" t="s">
        <v>739</v>
      </c>
      <c r="D149" s="87">
        <v>2</v>
      </c>
      <c r="E149" s="80" t="s">
        <v>1018</v>
      </c>
      <c r="F149" s="91">
        <v>35.92</v>
      </c>
      <c r="G149" s="92">
        <f>Plan1!D149*Plan1!F149</f>
        <v>71.84</v>
      </c>
    </row>
    <row r="150" spans="1:7" ht="15" customHeight="1">
      <c r="A150" s="75" t="s">
        <v>1019</v>
      </c>
      <c r="B150" s="94" t="s">
        <v>1020</v>
      </c>
      <c r="C150" s="83" t="s">
        <v>739</v>
      </c>
      <c r="D150" s="87">
        <v>8</v>
      </c>
      <c r="E150" s="80" t="s">
        <v>815</v>
      </c>
      <c r="F150" s="91">
        <v>66.67</v>
      </c>
      <c r="G150" s="92">
        <f>Plan1!D150*Plan1!F150</f>
        <v>533.36</v>
      </c>
    </row>
    <row r="151" spans="1:7" ht="15" customHeight="1">
      <c r="A151" s="75" t="s">
        <v>1021</v>
      </c>
      <c r="B151" s="94" t="s">
        <v>1022</v>
      </c>
      <c r="C151" s="83" t="s">
        <v>739</v>
      </c>
      <c r="D151" s="87">
        <v>2</v>
      </c>
      <c r="E151" s="83" t="s">
        <v>1023</v>
      </c>
      <c r="F151" s="91">
        <v>66.67</v>
      </c>
      <c r="G151" s="92">
        <f>Plan1!D151*Plan1!F151</f>
        <v>133.34</v>
      </c>
    </row>
    <row r="152" spans="1:7" ht="15" customHeight="1">
      <c r="A152" s="75" t="s">
        <v>1024</v>
      </c>
      <c r="B152" s="94" t="s">
        <v>1025</v>
      </c>
      <c r="C152" s="83" t="s">
        <v>739</v>
      </c>
      <c r="D152" s="87">
        <v>2</v>
      </c>
      <c r="E152" s="80" t="s">
        <v>806</v>
      </c>
      <c r="F152" s="91">
        <v>87.07</v>
      </c>
      <c r="G152" s="92">
        <f>Plan1!D152*Plan1!F152</f>
        <v>174.14</v>
      </c>
    </row>
    <row r="153" spans="1:7" ht="15" customHeight="1">
      <c r="A153" s="75" t="s">
        <v>1026</v>
      </c>
      <c r="B153" s="94" t="s">
        <v>1027</v>
      </c>
      <c r="C153" s="83" t="s">
        <v>739</v>
      </c>
      <c r="D153" s="87">
        <v>1</v>
      </c>
      <c r="E153" s="80" t="s">
        <v>1028</v>
      </c>
      <c r="F153" s="91">
        <v>209.15</v>
      </c>
      <c r="G153" s="92">
        <f>Plan1!D153*Plan1!F153</f>
        <v>209.15</v>
      </c>
    </row>
    <row r="154" spans="1:7" ht="15" customHeight="1">
      <c r="A154" s="75" t="s">
        <v>1029</v>
      </c>
      <c r="B154" s="94" t="s">
        <v>1030</v>
      </c>
      <c r="C154" s="83" t="s">
        <v>739</v>
      </c>
      <c r="D154" s="87">
        <v>1</v>
      </c>
      <c r="E154" s="80" t="s">
        <v>1031</v>
      </c>
      <c r="F154" s="91">
        <v>376.75</v>
      </c>
      <c r="G154" s="92">
        <f>Plan1!D154*Plan1!F154</f>
        <v>376.75</v>
      </c>
    </row>
    <row r="155" spans="1:7" ht="15" customHeight="1">
      <c r="A155" s="75" t="s">
        <v>1032</v>
      </c>
      <c r="B155" s="94" t="s">
        <v>1033</v>
      </c>
      <c r="C155" s="83" t="s">
        <v>739</v>
      </c>
      <c r="D155" s="87">
        <v>1</v>
      </c>
      <c r="E155" s="80" t="s">
        <v>1034</v>
      </c>
      <c r="F155" s="91">
        <v>607.13</v>
      </c>
      <c r="G155" s="92">
        <f>Plan1!D155*Plan1!F155</f>
        <v>607.13</v>
      </c>
    </row>
    <row r="156" spans="1:7" ht="25.5" customHeight="1">
      <c r="A156" s="75" t="s">
        <v>1035</v>
      </c>
      <c r="B156" s="94" t="s">
        <v>857</v>
      </c>
      <c r="C156" s="80" t="s">
        <v>739</v>
      </c>
      <c r="D156" s="87">
        <v>24</v>
      </c>
      <c r="E156" s="83" t="s">
        <v>858</v>
      </c>
      <c r="F156" s="91">
        <v>148.52</v>
      </c>
      <c r="G156" s="92">
        <f>Plan1!D156*Plan1!F156</f>
        <v>3564.4800000000005</v>
      </c>
    </row>
    <row r="157" spans="1:7" ht="25.5" customHeight="1">
      <c r="A157" s="75" t="s">
        <v>1036</v>
      </c>
      <c r="B157" s="94" t="s">
        <v>860</v>
      </c>
      <c r="C157" s="80" t="s">
        <v>739</v>
      </c>
      <c r="D157" s="87">
        <v>2</v>
      </c>
      <c r="E157" s="83" t="s">
        <v>861</v>
      </c>
      <c r="F157" s="91">
        <v>258.52</v>
      </c>
      <c r="G157" s="92">
        <f>Plan1!D157*Plan1!F157</f>
        <v>517.04</v>
      </c>
    </row>
    <row r="158" spans="1:7" ht="38.25" customHeight="1">
      <c r="A158" s="75" t="s">
        <v>1037</v>
      </c>
      <c r="B158" s="94" t="s">
        <v>863</v>
      </c>
      <c r="C158" s="80" t="s">
        <v>739</v>
      </c>
      <c r="D158" s="87">
        <v>24</v>
      </c>
      <c r="E158" s="83" t="s">
        <v>864</v>
      </c>
      <c r="F158" s="91">
        <v>103.52</v>
      </c>
      <c r="G158" s="92">
        <f>Plan1!D158*Plan1!F158</f>
        <v>2484.48</v>
      </c>
    </row>
    <row r="159" spans="1:7" ht="38.25" customHeight="1">
      <c r="A159" s="75" t="s">
        <v>1038</v>
      </c>
      <c r="B159" s="94" t="s">
        <v>1039</v>
      </c>
      <c r="C159" s="80" t="s">
        <v>739</v>
      </c>
      <c r="D159" s="87">
        <v>2</v>
      </c>
      <c r="E159" s="83" t="s">
        <v>867</v>
      </c>
      <c r="F159" s="91">
        <v>163.52</v>
      </c>
      <c r="G159" s="92">
        <f>Plan1!D159*Plan1!F159</f>
        <v>327.04</v>
      </c>
    </row>
    <row r="160" spans="1:7" ht="15" customHeight="1">
      <c r="A160" s="75" t="s">
        <v>1040</v>
      </c>
      <c r="B160" s="90" t="s">
        <v>869</v>
      </c>
      <c r="C160" s="80" t="s">
        <v>739</v>
      </c>
      <c r="D160" s="87">
        <v>2</v>
      </c>
      <c r="E160" s="83" t="s">
        <v>870</v>
      </c>
      <c r="F160" s="91">
        <v>31.43</v>
      </c>
      <c r="G160" s="92">
        <f>Plan1!D160*Plan1!F160</f>
        <v>62.86</v>
      </c>
    </row>
    <row r="161" spans="1:7" ht="15" customHeight="1">
      <c r="A161" s="75" t="s">
        <v>1041</v>
      </c>
      <c r="B161" s="90" t="s">
        <v>872</v>
      </c>
      <c r="C161" s="80" t="s">
        <v>739</v>
      </c>
      <c r="D161" s="87">
        <v>2</v>
      </c>
      <c r="E161" s="80" t="s">
        <v>701</v>
      </c>
      <c r="F161" s="91">
        <v>56.15</v>
      </c>
      <c r="G161" s="92">
        <f>Plan1!D161*Plan1!F161</f>
        <v>112.3</v>
      </c>
    </row>
    <row r="162" spans="1:7" ht="15" customHeight="1">
      <c r="A162" s="75" t="s">
        <v>1042</v>
      </c>
      <c r="B162" s="94" t="s">
        <v>1043</v>
      </c>
      <c r="C162" s="83" t="s">
        <v>739</v>
      </c>
      <c r="D162" s="87">
        <v>150</v>
      </c>
      <c r="E162" s="80" t="s">
        <v>347</v>
      </c>
      <c r="F162" s="91">
        <v>36.43</v>
      </c>
      <c r="G162" s="92">
        <f>Plan1!D162*Plan1!F162</f>
        <v>5464.5</v>
      </c>
    </row>
    <row r="163" spans="1:7" ht="15" customHeight="1">
      <c r="A163" s="75" t="s">
        <v>1044</v>
      </c>
      <c r="B163" s="94" t="s">
        <v>1045</v>
      </c>
      <c r="C163" s="83" t="s">
        <v>739</v>
      </c>
      <c r="D163" s="87">
        <f>81+60+1+1+4+2+101</f>
        <v>250</v>
      </c>
      <c r="E163" s="80" t="s">
        <v>1046</v>
      </c>
      <c r="F163" s="91">
        <v>100.83</v>
      </c>
      <c r="G163" s="92">
        <f>Plan1!D163*Plan1!F163</f>
        <v>25207.5</v>
      </c>
    </row>
    <row r="164" spans="1:7" ht="15" customHeight="1">
      <c r="A164" s="75" t="s">
        <v>1047</v>
      </c>
      <c r="B164" s="94" t="s">
        <v>1048</v>
      </c>
      <c r="C164" s="83" t="s">
        <v>739</v>
      </c>
      <c r="D164" s="87">
        <f>88+67+2+103</f>
        <v>260</v>
      </c>
      <c r="E164" s="80" t="s">
        <v>181</v>
      </c>
      <c r="F164" s="91">
        <v>5.93</v>
      </c>
      <c r="G164" s="92">
        <f>Plan1!D164*Plan1!F164</f>
        <v>1541.8</v>
      </c>
    </row>
    <row r="165" spans="1:7" ht="15" customHeight="1">
      <c r="A165" s="75" t="s">
        <v>1049</v>
      </c>
      <c r="B165" s="94" t="s">
        <v>1050</v>
      </c>
      <c r="C165" s="83" t="s">
        <v>739</v>
      </c>
      <c r="D165" s="87">
        <f>29+20</f>
        <v>49</v>
      </c>
      <c r="E165" s="80" t="s">
        <v>264</v>
      </c>
      <c r="F165" s="91">
        <v>9.33</v>
      </c>
      <c r="G165" s="92">
        <f>Plan1!D165*Plan1!F165</f>
        <v>457.17</v>
      </c>
    </row>
    <row r="166" spans="1:7" ht="15" customHeight="1">
      <c r="A166" s="75" t="s">
        <v>1051</v>
      </c>
      <c r="B166" s="94" t="s">
        <v>1052</v>
      </c>
      <c r="C166" s="83" t="s">
        <v>739</v>
      </c>
      <c r="D166" s="87">
        <f>44+39</f>
        <v>83</v>
      </c>
      <c r="E166" s="80" t="s">
        <v>1053</v>
      </c>
      <c r="F166" s="91">
        <v>7.53</v>
      </c>
      <c r="G166" s="92">
        <f>Plan1!D166*Plan1!F166</f>
        <v>624.99</v>
      </c>
    </row>
    <row r="167" spans="1:7" ht="15" customHeight="1">
      <c r="A167" s="75" t="s">
        <v>1054</v>
      </c>
      <c r="B167" s="94" t="s">
        <v>1055</v>
      </c>
      <c r="C167" s="83" t="s">
        <v>739</v>
      </c>
      <c r="D167" s="87">
        <f>3+6</f>
        <v>9</v>
      </c>
      <c r="E167" s="80" t="s">
        <v>1056</v>
      </c>
      <c r="F167" s="91">
        <v>9.73</v>
      </c>
      <c r="G167" s="92">
        <f>Plan1!D167*Plan1!F167</f>
        <v>87.57000000000001</v>
      </c>
    </row>
    <row r="168" spans="1:7" ht="15" customHeight="1">
      <c r="A168" s="75" t="s">
        <v>1057</v>
      </c>
      <c r="B168" s="94" t="s">
        <v>1058</v>
      </c>
      <c r="C168" s="83" t="s">
        <v>739</v>
      </c>
      <c r="D168" s="87">
        <v>21</v>
      </c>
      <c r="E168" s="80" t="s">
        <v>824</v>
      </c>
      <c r="F168" s="91">
        <v>6.43</v>
      </c>
      <c r="G168" s="92">
        <f>Plan1!D168*Plan1!F168</f>
        <v>135.03</v>
      </c>
    </row>
    <row r="169" spans="1:7" ht="15" customHeight="1">
      <c r="A169" s="75" t="s">
        <v>1059</v>
      </c>
      <c r="B169" s="94" t="s">
        <v>1060</v>
      </c>
      <c r="C169" s="83" t="s">
        <v>739</v>
      </c>
      <c r="D169" s="87">
        <f>77+42</f>
        <v>119</v>
      </c>
      <c r="E169" s="80" t="s">
        <v>1061</v>
      </c>
      <c r="F169" s="91">
        <v>8.41</v>
      </c>
      <c r="G169" s="92">
        <f>Plan1!D169*Plan1!F169</f>
        <v>1000.79</v>
      </c>
    </row>
    <row r="170" spans="1:7" ht="15" customHeight="1">
      <c r="A170" s="75" t="s">
        <v>1062</v>
      </c>
      <c r="B170" s="94" t="s">
        <v>1063</v>
      </c>
      <c r="C170" s="83" t="s">
        <v>739</v>
      </c>
      <c r="D170" s="87">
        <f>8+2+6</f>
        <v>16</v>
      </c>
      <c r="E170" s="80" t="s">
        <v>1064</v>
      </c>
      <c r="F170" s="91">
        <v>4.71</v>
      </c>
      <c r="G170" s="92">
        <f>Plan1!D170*Plan1!F170</f>
        <v>75.36</v>
      </c>
    </row>
    <row r="171" spans="1:7" ht="15" customHeight="1">
      <c r="A171" s="75" t="s">
        <v>1065</v>
      </c>
      <c r="B171" s="94" t="s">
        <v>1066</v>
      </c>
      <c r="C171" s="83" t="s">
        <v>739</v>
      </c>
      <c r="D171" s="87">
        <v>8</v>
      </c>
      <c r="E171" s="80" t="s">
        <v>1067</v>
      </c>
      <c r="F171" s="91">
        <v>13.21</v>
      </c>
      <c r="G171" s="92">
        <f>Plan1!D171*Plan1!F171</f>
        <v>105.68</v>
      </c>
    </row>
    <row r="172" spans="1:7" ht="25.5" customHeight="1">
      <c r="A172" s="75" t="s">
        <v>1068</v>
      </c>
      <c r="B172" s="94" t="s">
        <v>1069</v>
      </c>
      <c r="C172" s="83" t="s">
        <v>739</v>
      </c>
      <c r="D172" s="87">
        <f>3+5</f>
        <v>8</v>
      </c>
      <c r="E172" s="80" t="s">
        <v>1070</v>
      </c>
      <c r="F172" s="91">
        <v>18.23</v>
      </c>
      <c r="G172" s="92">
        <f>Plan1!D172*Plan1!F172</f>
        <v>145.84</v>
      </c>
    </row>
    <row r="173" spans="1:7" ht="15" customHeight="1">
      <c r="A173" s="75" t="s">
        <v>1071</v>
      </c>
      <c r="B173" s="94" t="s">
        <v>1072</v>
      </c>
      <c r="C173" s="83" t="s">
        <v>739</v>
      </c>
      <c r="D173" s="87">
        <f>868+720</f>
        <v>1588</v>
      </c>
      <c r="E173" s="80" t="s">
        <v>1073</v>
      </c>
      <c r="F173" s="91">
        <v>0.85</v>
      </c>
      <c r="G173" s="92">
        <f>Plan1!D173*Plan1!F173</f>
        <v>1349.8</v>
      </c>
    </row>
    <row r="174" spans="1:7" ht="15" customHeight="1">
      <c r="A174" s="75" t="s">
        <v>1074</v>
      </c>
      <c r="B174" s="94" t="s">
        <v>1075</v>
      </c>
      <c r="C174" s="83" t="s">
        <v>739</v>
      </c>
      <c r="D174" s="87">
        <f>640+384+280</f>
        <v>1304</v>
      </c>
      <c r="E174" s="80" t="s">
        <v>1076</v>
      </c>
      <c r="F174" s="91">
        <v>1.6</v>
      </c>
      <c r="G174" s="92">
        <f>Plan1!D174*Plan1!F174</f>
        <v>2086.4</v>
      </c>
    </row>
    <row r="175" spans="1:7" ht="15" customHeight="1">
      <c r="A175" s="75" t="s">
        <v>1077</v>
      </c>
      <c r="B175" s="94" t="s">
        <v>1078</v>
      </c>
      <c r="C175" s="83" t="s">
        <v>739</v>
      </c>
      <c r="D175" s="87">
        <f>868+720</f>
        <v>1588</v>
      </c>
      <c r="E175" s="80" t="s">
        <v>1079</v>
      </c>
      <c r="F175" s="91">
        <v>0.83</v>
      </c>
      <c r="G175" s="92">
        <f>Plan1!D175*Plan1!F175</f>
        <v>1318.04</v>
      </c>
    </row>
    <row r="176" spans="1:7" ht="15" customHeight="1">
      <c r="A176" s="75" t="s">
        <v>1080</v>
      </c>
      <c r="B176" s="94" t="s">
        <v>1081</v>
      </c>
      <c r="C176" s="83" t="s">
        <v>739</v>
      </c>
      <c r="D176" s="87">
        <f>822+472+280+852</f>
        <v>2426</v>
      </c>
      <c r="E176" s="80" t="s">
        <v>772</v>
      </c>
      <c r="F176" s="91">
        <v>0.81</v>
      </c>
      <c r="G176" s="92">
        <f>Plan1!D176*Plan1!F176</f>
        <v>1965.0600000000002</v>
      </c>
    </row>
    <row r="177" spans="1:7" ht="15" customHeight="1">
      <c r="A177" s="75" t="s">
        <v>1082</v>
      </c>
      <c r="B177" s="94" t="s">
        <v>1083</v>
      </c>
      <c r="C177" s="83" t="s">
        <v>739</v>
      </c>
      <c r="D177" s="87">
        <f>868+720</f>
        <v>1588</v>
      </c>
      <c r="E177" s="80" t="s">
        <v>1084</v>
      </c>
      <c r="F177" s="91">
        <v>0.75</v>
      </c>
      <c r="G177" s="92">
        <f>Plan1!D177*Plan1!F177</f>
        <v>1191</v>
      </c>
    </row>
    <row r="178" spans="1:7" ht="15" customHeight="1">
      <c r="A178" s="75" t="s">
        <v>1085</v>
      </c>
      <c r="B178" s="94" t="s">
        <v>1086</v>
      </c>
      <c r="C178" s="83" t="s">
        <v>739</v>
      </c>
      <c r="D178" s="87">
        <f>822+472+280+852</f>
        <v>2426</v>
      </c>
      <c r="E178" s="80" t="s">
        <v>672</v>
      </c>
      <c r="F178" s="91">
        <v>0.74</v>
      </c>
      <c r="G178" s="92">
        <f>Plan1!D178*Plan1!F178</f>
        <v>1795.24</v>
      </c>
    </row>
    <row r="179" spans="1:7" ht="15" customHeight="1">
      <c r="A179" s="75" t="s">
        <v>1087</v>
      </c>
      <c r="B179" s="94" t="s">
        <v>883</v>
      </c>
      <c r="C179" s="83" t="s">
        <v>739</v>
      </c>
      <c r="D179" s="87">
        <f>182+88+852</f>
        <v>1122</v>
      </c>
      <c r="E179" s="80" t="s">
        <v>763</v>
      </c>
      <c r="F179" s="91">
        <v>1.68</v>
      </c>
      <c r="G179" s="92">
        <f>Plan1!D179*Plan1!F179</f>
        <v>1884.96</v>
      </c>
    </row>
    <row r="180" spans="1:7" ht="15" customHeight="1">
      <c r="A180" s="75" t="s">
        <v>1088</v>
      </c>
      <c r="B180" s="94" t="s">
        <v>688</v>
      </c>
      <c r="C180" s="83" t="s">
        <v>739</v>
      </c>
      <c r="D180" s="87">
        <f>17+6</f>
        <v>23</v>
      </c>
      <c r="E180" s="80" t="s">
        <v>690</v>
      </c>
      <c r="F180" s="81">
        <v>58.34</v>
      </c>
      <c r="G180" s="92">
        <f>Plan1!D180*Plan1!F180</f>
        <v>1341.8200000000002</v>
      </c>
    </row>
    <row r="181" spans="1:7" ht="15" customHeight="1">
      <c r="A181" s="75" t="s">
        <v>1089</v>
      </c>
      <c r="B181" s="94" t="s">
        <v>1090</v>
      </c>
      <c r="C181" s="83" t="s">
        <v>739</v>
      </c>
      <c r="D181" s="87">
        <v>55</v>
      </c>
      <c r="E181" s="83" t="s">
        <v>692</v>
      </c>
      <c r="F181" s="81">
        <v>120.28</v>
      </c>
      <c r="G181" s="92">
        <f>Plan1!D181*Plan1!F181</f>
        <v>6615.4</v>
      </c>
    </row>
    <row r="182" spans="1:7" ht="15" customHeight="1">
      <c r="A182" s="75" t="s">
        <v>1091</v>
      </c>
      <c r="B182" s="94" t="s">
        <v>1092</v>
      </c>
      <c r="C182" s="83" t="s">
        <v>739</v>
      </c>
      <c r="D182" s="87">
        <f>1+1</f>
        <v>2</v>
      </c>
      <c r="E182" s="83" t="s">
        <v>1093</v>
      </c>
      <c r="F182" s="91">
        <v>54.61</v>
      </c>
      <c r="G182" s="92">
        <f>Plan1!D182*Plan1!F182</f>
        <v>109.22</v>
      </c>
    </row>
    <row r="183" spans="1:7" ht="15" customHeight="1">
      <c r="A183" s="75" t="s">
        <v>1094</v>
      </c>
      <c r="B183" s="94" t="s">
        <v>779</v>
      </c>
      <c r="C183" s="83" t="s">
        <v>739</v>
      </c>
      <c r="D183" s="87">
        <f>5+6</f>
        <v>11</v>
      </c>
      <c r="E183" s="80" t="s">
        <v>135</v>
      </c>
      <c r="F183" s="81">
        <v>80.41</v>
      </c>
      <c r="G183" s="92">
        <f>Plan1!D183*Plan1!F183</f>
        <v>884.51</v>
      </c>
    </row>
    <row r="184" spans="1:7" ht="25.5" customHeight="1">
      <c r="A184" s="75" t="s">
        <v>1095</v>
      </c>
      <c r="B184" s="94" t="s">
        <v>1096</v>
      </c>
      <c r="C184" s="83" t="s">
        <v>739</v>
      </c>
      <c r="D184" s="87">
        <v>11</v>
      </c>
      <c r="E184" s="83" t="s">
        <v>1097</v>
      </c>
      <c r="F184" s="91">
        <v>32.35</v>
      </c>
      <c r="G184" s="92">
        <f>Plan1!D184*Plan1!F184</f>
        <v>355.85</v>
      </c>
    </row>
    <row r="185" spans="1:7" ht="25.5" customHeight="1">
      <c r="A185" s="75" t="s">
        <v>1098</v>
      </c>
      <c r="B185" s="94" t="s">
        <v>1099</v>
      </c>
      <c r="C185" s="83" t="s">
        <v>739</v>
      </c>
      <c r="D185" s="87">
        <f>4+3</f>
        <v>7</v>
      </c>
      <c r="E185" s="83" t="s">
        <v>1100</v>
      </c>
      <c r="F185" s="91">
        <v>21.33</v>
      </c>
      <c r="G185" s="92">
        <f>Plan1!D185*Plan1!F185</f>
        <v>149.31</v>
      </c>
    </row>
    <row r="186" spans="1:7" ht="15" customHeight="1">
      <c r="A186" s="75" t="s">
        <v>1101</v>
      </c>
      <c r="B186" s="94" t="s">
        <v>1102</v>
      </c>
      <c r="C186" s="83" t="s">
        <v>739</v>
      </c>
      <c r="D186" s="87">
        <f>17+6+30</f>
        <v>53</v>
      </c>
      <c r="E186" s="83" t="s">
        <v>267</v>
      </c>
      <c r="F186" s="81">
        <v>5.23</v>
      </c>
      <c r="G186" s="92">
        <f>Plan1!D186*Plan1!F186</f>
        <v>277.19</v>
      </c>
    </row>
    <row r="187" spans="1:7" ht="15" customHeight="1">
      <c r="A187" s="75" t="s">
        <v>1103</v>
      </c>
      <c r="B187" s="94" t="s">
        <v>1104</v>
      </c>
      <c r="C187" s="83" t="s">
        <v>739</v>
      </c>
      <c r="D187" s="87">
        <f>31+12+32</f>
        <v>75</v>
      </c>
      <c r="E187" s="83" t="s">
        <v>288</v>
      </c>
      <c r="F187" s="81">
        <v>7.28</v>
      </c>
      <c r="G187" s="92">
        <f>Plan1!D187*Plan1!F187</f>
        <v>546</v>
      </c>
    </row>
    <row r="188" spans="1:7" ht="15" customHeight="1">
      <c r="A188" s="75" t="s">
        <v>1105</v>
      </c>
      <c r="B188" s="94" t="s">
        <v>777</v>
      </c>
      <c r="C188" s="83" t="s">
        <v>739</v>
      </c>
      <c r="D188" s="87">
        <f>52+45</f>
        <v>97</v>
      </c>
      <c r="E188" s="80" t="s">
        <v>382</v>
      </c>
      <c r="F188" s="81">
        <v>14.26</v>
      </c>
      <c r="G188" s="92">
        <f>Plan1!D188*Plan1!F188</f>
        <v>1383.22</v>
      </c>
    </row>
    <row r="189" spans="1:7" ht="25.5" customHeight="1">
      <c r="A189" s="75" t="s">
        <v>1106</v>
      </c>
      <c r="B189" s="94" t="s">
        <v>1107</v>
      </c>
      <c r="C189" s="83" t="s">
        <v>739</v>
      </c>
      <c r="D189" s="87">
        <v>21</v>
      </c>
      <c r="E189" s="80" t="s">
        <v>1108</v>
      </c>
      <c r="F189" s="91">
        <v>0.91</v>
      </c>
      <c r="G189" s="92">
        <f>Plan1!D189*Plan1!F189</f>
        <v>19.11</v>
      </c>
    </row>
    <row r="190" spans="1:7" ht="15" customHeight="1">
      <c r="A190" s="75" t="s">
        <v>1109</v>
      </c>
      <c r="B190" s="94" t="s">
        <v>1110</v>
      </c>
      <c r="C190" s="83" t="s">
        <v>133</v>
      </c>
      <c r="D190" s="87">
        <v>31</v>
      </c>
      <c r="E190" s="80" t="s">
        <v>891</v>
      </c>
      <c r="F190" s="91">
        <v>5.08</v>
      </c>
      <c r="G190" s="92">
        <f>Plan1!D190*Plan1!F190</f>
        <v>157.48</v>
      </c>
    </row>
    <row r="191" spans="1:7" ht="15" customHeight="1">
      <c r="A191" s="75" t="s">
        <v>1111</v>
      </c>
      <c r="B191" s="94" t="s">
        <v>1112</v>
      </c>
      <c r="C191" s="83" t="s">
        <v>739</v>
      </c>
      <c r="D191" s="87">
        <v>10</v>
      </c>
      <c r="E191" s="83" t="s">
        <v>179</v>
      </c>
      <c r="F191" s="91">
        <v>5.21</v>
      </c>
      <c r="G191" s="92">
        <f>Plan1!D191*Plan1!F191</f>
        <v>52.1</v>
      </c>
    </row>
    <row r="192" spans="1:7" ht="15" customHeight="1">
      <c r="A192" s="75" t="s">
        <v>1113</v>
      </c>
      <c r="B192" s="94" t="s">
        <v>1114</v>
      </c>
      <c r="C192" s="83" t="s">
        <v>739</v>
      </c>
      <c r="D192" s="87">
        <v>21</v>
      </c>
      <c r="E192" s="83" t="s">
        <v>875</v>
      </c>
      <c r="F192" s="91">
        <v>2.84</v>
      </c>
      <c r="G192" s="92">
        <f>Plan1!D192*Plan1!F192</f>
        <v>59.64</v>
      </c>
    </row>
    <row r="193" spans="1:7" ht="15" customHeight="1">
      <c r="A193" s="75" t="s">
        <v>1115</v>
      </c>
      <c r="B193" s="94" t="s">
        <v>688</v>
      </c>
      <c r="C193" s="83" t="s">
        <v>739</v>
      </c>
      <c r="D193" s="87">
        <v>11</v>
      </c>
      <c r="E193" s="80" t="s">
        <v>690</v>
      </c>
      <c r="F193" s="81">
        <v>58.34</v>
      </c>
      <c r="G193" s="92">
        <f>Plan1!D193*Plan1!F193</f>
        <v>641.74</v>
      </c>
    </row>
    <row r="194" spans="1:7" ht="15" customHeight="1">
      <c r="A194" s="75" t="s">
        <v>1116</v>
      </c>
      <c r="B194" s="94" t="s">
        <v>1117</v>
      </c>
      <c r="C194" s="83" t="s">
        <v>739</v>
      </c>
      <c r="D194" s="87">
        <v>20</v>
      </c>
      <c r="E194" s="80" t="s">
        <v>1118</v>
      </c>
      <c r="F194" s="91">
        <v>25.23</v>
      </c>
      <c r="G194" s="92">
        <f>Plan1!D194*Plan1!F194</f>
        <v>504.6</v>
      </c>
    </row>
    <row r="195" spans="1:7" ht="25.5" customHeight="1">
      <c r="A195" s="75" t="s">
        <v>1119</v>
      </c>
      <c r="B195" s="94" t="s">
        <v>1120</v>
      </c>
      <c r="C195" s="83" t="s">
        <v>739</v>
      </c>
      <c r="D195" s="87">
        <v>20</v>
      </c>
      <c r="E195" s="83" t="s">
        <v>267</v>
      </c>
      <c r="F195" s="81">
        <v>5.23</v>
      </c>
      <c r="G195" s="92">
        <f>Plan1!D195*Plan1!F195</f>
        <v>104.60000000000001</v>
      </c>
    </row>
    <row r="196" spans="1:7" ht="25.5" customHeight="1">
      <c r="A196" s="75" t="s">
        <v>1121</v>
      </c>
      <c r="B196" s="94" t="s">
        <v>1122</v>
      </c>
      <c r="C196" s="83" t="s">
        <v>739</v>
      </c>
      <c r="D196" s="87">
        <v>15</v>
      </c>
      <c r="E196" s="83" t="s">
        <v>288</v>
      </c>
      <c r="F196" s="81">
        <v>7.28</v>
      </c>
      <c r="G196" s="92">
        <f>Plan1!D196*Plan1!F196</f>
        <v>109.2</v>
      </c>
    </row>
    <row r="197" spans="1:7" ht="15" customHeight="1">
      <c r="A197" s="75" t="s">
        <v>1123</v>
      </c>
      <c r="B197" s="90" t="s">
        <v>1124</v>
      </c>
      <c r="C197" s="83" t="s">
        <v>739</v>
      </c>
      <c r="D197" s="80">
        <v>150</v>
      </c>
      <c r="E197" s="80" t="s">
        <v>855</v>
      </c>
      <c r="F197" s="91">
        <v>7.73</v>
      </c>
      <c r="G197" s="92">
        <f>Plan1!D197*Plan1!F197</f>
        <v>1159.5</v>
      </c>
    </row>
    <row r="198" spans="1:7" ht="15" customHeight="1">
      <c r="A198" s="96">
        <v>3101</v>
      </c>
      <c r="B198" s="94" t="s">
        <v>1125</v>
      </c>
      <c r="C198" s="83" t="s">
        <v>739</v>
      </c>
      <c r="D198" s="80">
        <v>1</v>
      </c>
      <c r="E198" s="83" t="s">
        <v>1126</v>
      </c>
      <c r="F198" s="91">
        <v>102.94</v>
      </c>
      <c r="G198" s="92">
        <f>Plan1!D198*Plan1!F198</f>
        <v>102.94</v>
      </c>
    </row>
    <row r="199" spans="1:7" ht="15" customHeight="1">
      <c r="A199" s="96">
        <v>3102</v>
      </c>
      <c r="B199" s="94" t="s">
        <v>848</v>
      </c>
      <c r="C199" s="83" t="s">
        <v>739</v>
      </c>
      <c r="D199" s="80">
        <v>100</v>
      </c>
      <c r="E199" s="80" t="s">
        <v>849</v>
      </c>
      <c r="F199" s="91">
        <v>5.31</v>
      </c>
      <c r="G199" s="92">
        <f>Plan1!D199*Plan1!F199</f>
        <v>531</v>
      </c>
    </row>
    <row r="200" spans="1:7" ht="15" customHeight="1">
      <c r="A200" s="75" t="s">
        <v>1127</v>
      </c>
      <c r="B200" s="94" t="s">
        <v>887</v>
      </c>
      <c r="C200" s="83" t="s">
        <v>739</v>
      </c>
      <c r="D200" s="80">
        <v>426</v>
      </c>
      <c r="E200" s="80" t="s">
        <v>888</v>
      </c>
      <c r="F200" s="91">
        <v>4.31</v>
      </c>
      <c r="G200" s="92"/>
    </row>
    <row r="201" spans="1:7" ht="15" customHeight="1">
      <c r="A201" s="75" t="s">
        <v>1128</v>
      </c>
      <c r="B201" s="97" t="s">
        <v>1129</v>
      </c>
      <c r="C201" s="80" t="s">
        <v>133</v>
      </c>
      <c r="D201" s="83">
        <v>500</v>
      </c>
      <c r="E201" s="80" t="s">
        <v>1130</v>
      </c>
      <c r="F201" s="91">
        <v>3.86</v>
      </c>
      <c r="G201" s="92">
        <f>Plan1!D201*Plan1!F201</f>
        <v>1930</v>
      </c>
    </row>
    <row r="202" spans="1:7" ht="25.5" customHeight="1">
      <c r="A202" s="75" t="s">
        <v>1131</v>
      </c>
      <c r="B202" s="94" t="s">
        <v>1132</v>
      </c>
      <c r="C202" s="83" t="s">
        <v>739</v>
      </c>
      <c r="D202" s="80">
        <v>426</v>
      </c>
      <c r="E202" s="80" t="s">
        <v>1133</v>
      </c>
      <c r="F202" s="91">
        <v>3.81</v>
      </c>
      <c r="G202" s="92">
        <f>Plan1!D202*Plan1!F202</f>
        <v>1623.06</v>
      </c>
    </row>
    <row r="203" spans="1:7" ht="15" customHeight="1">
      <c r="A203" s="738" t="s">
        <v>668</v>
      </c>
      <c r="B203" s="738"/>
      <c r="C203" s="738"/>
      <c r="D203" s="738"/>
      <c r="E203" s="738"/>
      <c r="F203" s="738"/>
      <c r="G203" s="95">
        <f>SUM(Plan1!G98:G202)</f>
        <v>270188.03389999986</v>
      </c>
    </row>
    <row r="204" spans="1:7" ht="15" customHeight="1">
      <c r="A204" s="98" t="s">
        <v>107</v>
      </c>
      <c r="B204" s="736" t="s">
        <v>1134</v>
      </c>
      <c r="C204" s="736"/>
      <c r="D204" s="736"/>
      <c r="E204" s="736"/>
      <c r="F204" s="736"/>
      <c r="G204" s="736"/>
    </row>
    <row r="205" spans="1:7" ht="25.5" customHeight="1">
      <c r="A205" s="75" t="s">
        <v>110</v>
      </c>
      <c r="B205" s="79" t="s">
        <v>1135</v>
      </c>
      <c r="C205" s="80" t="s">
        <v>715</v>
      </c>
      <c r="D205" s="80">
        <v>330</v>
      </c>
      <c r="E205" s="80" t="s">
        <v>891</v>
      </c>
      <c r="F205" s="91">
        <f>5.08*3</f>
        <v>15.24</v>
      </c>
      <c r="G205" s="92">
        <f>Plan1!D205*Plan1!F205</f>
        <v>5029.2</v>
      </c>
    </row>
    <row r="206" spans="1:7" ht="25.5" customHeight="1">
      <c r="A206" s="75" t="s">
        <v>113</v>
      </c>
      <c r="B206" s="79" t="s">
        <v>1136</v>
      </c>
      <c r="C206" s="80" t="s">
        <v>133</v>
      </c>
      <c r="D206" s="80">
        <v>303</v>
      </c>
      <c r="E206" s="80" t="s">
        <v>896</v>
      </c>
      <c r="F206" s="91">
        <v>2.84</v>
      </c>
      <c r="G206" s="92">
        <f>Plan1!D206*Plan1!F206</f>
        <v>860.52</v>
      </c>
    </row>
    <row r="207" spans="1:7" ht="25.5" customHeight="1">
      <c r="A207" s="75" t="s">
        <v>116</v>
      </c>
      <c r="B207" s="79" t="s">
        <v>1137</v>
      </c>
      <c r="C207" s="80" t="s">
        <v>133</v>
      </c>
      <c r="D207" s="80">
        <v>209</v>
      </c>
      <c r="E207" s="80" t="s">
        <v>896</v>
      </c>
      <c r="F207" s="91">
        <v>2.84</v>
      </c>
      <c r="G207" s="92">
        <f>Plan1!D207*Plan1!F207</f>
        <v>593.56</v>
      </c>
    </row>
    <row r="208" spans="1:7" ht="25.5" customHeight="1">
      <c r="A208" s="75" t="s">
        <v>118</v>
      </c>
      <c r="B208" s="79" t="s">
        <v>1138</v>
      </c>
      <c r="C208" s="80" t="s">
        <v>133</v>
      </c>
      <c r="D208" s="80">
        <v>686.5</v>
      </c>
      <c r="E208" s="80" t="s">
        <v>896</v>
      </c>
      <c r="F208" s="91">
        <v>2.84</v>
      </c>
      <c r="G208" s="92">
        <f>Plan1!D208*Plan1!F208</f>
        <v>1949.6599999999999</v>
      </c>
    </row>
    <row r="209" spans="1:7" ht="25.5" customHeight="1">
      <c r="A209" s="75" t="s">
        <v>121</v>
      </c>
      <c r="B209" s="79" t="s">
        <v>1139</v>
      </c>
      <c r="C209" s="80" t="s">
        <v>133</v>
      </c>
      <c r="D209" s="80">
        <v>1336.5</v>
      </c>
      <c r="E209" s="80" t="s">
        <v>901</v>
      </c>
      <c r="F209" s="91">
        <v>3.09</v>
      </c>
      <c r="G209" s="92">
        <f>Plan1!D209*Plan1!F209</f>
        <v>4129.785</v>
      </c>
    </row>
    <row r="210" spans="1:7" ht="25.5" customHeight="1">
      <c r="A210" s="75" t="s">
        <v>124</v>
      </c>
      <c r="B210" s="79" t="s">
        <v>1140</v>
      </c>
      <c r="C210" s="80" t="s">
        <v>133</v>
      </c>
      <c r="D210" s="80">
        <v>1336.5</v>
      </c>
      <c r="E210" s="80" t="s">
        <v>901</v>
      </c>
      <c r="F210" s="91">
        <v>3.09</v>
      </c>
      <c r="G210" s="92">
        <f>Plan1!D210*Plan1!F210</f>
        <v>4129.785</v>
      </c>
    </row>
    <row r="211" spans="1:7" ht="25.5" customHeight="1">
      <c r="A211" s="75" t="s">
        <v>127</v>
      </c>
      <c r="B211" s="79" t="s">
        <v>1141</v>
      </c>
      <c r="C211" s="80" t="s">
        <v>133</v>
      </c>
      <c r="D211" s="80">
        <v>1076</v>
      </c>
      <c r="E211" s="80" t="s">
        <v>901</v>
      </c>
      <c r="F211" s="91">
        <v>3.09</v>
      </c>
      <c r="G211" s="92">
        <f>Plan1!D211*Plan1!F211</f>
        <v>3324.8399999999997</v>
      </c>
    </row>
    <row r="212" spans="1:7" ht="25.5" customHeight="1">
      <c r="A212" s="75" t="s">
        <v>130</v>
      </c>
      <c r="B212" s="79" t="s">
        <v>1142</v>
      </c>
      <c r="C212" s="80" t="s">
        <v>133</v>
      </c>
      <c r="D212" s="80">
        <v>630</v>
      </c>
      <c r="E212" s="80" t="s">
        <v>908</v>
      </c>
      <c r="F212" s="91">
        <v>3.55</v>
      </c>
      <c r="G212" s="92">
        <f>Plan1!D212*Plan1!F212</f>
        <v>2236.5</v>
      </c>
    </row>
    <row r="213" spans="1:7" ht="25.5" customHeight="1">
      <c r="A213" s="75" t="s">
        <v>134</v>
      </c>
      <c r="B213" s="79" t="s">
        <v>1143</v>
      </c>
      <c r="C213" s="80" t="s">
        <v>133</v>
      </c>
      <c r="D213" s="80">
        <v>115</v>
      </c>
      <c r="E213" s="80" t="s">
        <v>908</v>
      </c>
      <c r="F213" s="91">
        <v>3.55</v>
      </c>
      <c r="G213" s="92">
        <f>Plan1!D213*Plan1!F213</f>
        <v>408.25</v>
      </c>
    </row>
    <row r="214" spans="1:7" ht="25.5" customHeight="1">
      <c r="A214" s="75" t="s">
        <v>137</v>
      </c>
      <c r="B214" s="79" t="s">
        <v>1144</v>
      </c>
      <c r="C214" s="80" t="s">
        <v>133</v>
      </c>
      <c r="D214" s="80">
        <v>121</v>
      </c>
      <c r="E214" s="80" t="s">
        <v>908</v>
      </c>
      <c r="F214" s="91">
        <v>3.55</v>
      </c>
      <c r="G214" s="92">
        <f>Plan1!D214*Plan1!F214</f>
        <v>429.54999999999995</v>
      </c>
    </row>
    <row r="215" spans="1:7" ht="25.5" customHeight="1">
      <c r="A215" s="75" t="s">
        <v>140</v>
      </c>
      <c r="B215" s="94" t="s">
        <v>1145</v>
      </c>
      <c r="C215" s="83" t="s">
        <v>739</v>
      </c>
      <c r="D215" s="80">
        <v>540</v>
      </c>
      <c r="E215" s="83" t="s">
        <v>391</v>
      </c>
      <c r="F215" s="91">
        <v>8.05</v>
      </c>
      <c r="G215" s="92">
        <f>Plan1!D215*Plan1!F215</f>
        <v>4347</v>
      </c>
    </row>
    <row r="216" spans="1:7" ht="25.5" customHeight="1">
      <c r="A216" s="75" t="s">
        <v>143</v>
      </c>
      <c r="B216" s="79" t="s">
        <v>1146</v>
      </c>
      <c r="C216" s="83" t="s">
        <v>739</v>
      </c>
      <c r="D216" s="80">
        <v>50</v>
      </c>
      <c r="E216" s="83" t="s">
        <v>938</v>
      </c>
      <c r="F216" s="91">
        <v>5.93</v>
      </c>
      <c r="G216" s="92">
        <f>Plan1!D216*Plan1!F216</f>
        <v>296.5</v>
      </c>
    </row>
    <row r="217" spans="1:7" ht="25.5" customHeight="1">
      <c r="A217" s="75" t="s">
        <v>145</v>
      </c>
      <c r="B217" s="79" t="s">
        <v>1147</v>
      </c>
      <c r="C217" s="83" t="s">
        <v>739</v>
      </c>
      <c r="D217" s="80">
        <v>368</v>
      </c>
      <c r="E217" s="80" t="s">
        <v>941</v>
      </c>
      <c r="F217" s="91">
        <v>5.93</v>
      </c>
      <c r="G217" s="92">
        <f>Plan1!D217*Plan1!F217</f>
        <v>2182.24</v>
      </c>
    </row>
    <row r="218" spans="1:7" ht="25.5" customHeight="1">
      <c r="A218" s="75" t="s">
        <v>148</v>
      </c>
      <c r="B218" s="79" t="s">
        <v>1148</v>
      </c>
      <c r="C218" s="83" t="s">
        <v>739</v>
      </c>
      <c r="D218" s="80">
        <v>34</v>
      </c>
      <c r="E218" s="83" t="s">
        <v>1149</v>
      </c>
      <c r="F218" s="91">
        <v>6.38</v>
      </c>
      <c r="G218" s="92">
        <f>Plan1!D218*Plan1!F218</f>
        <v>216.92</v>
      </c>
    </row>
    <row r="219" spans="1:7" ht="15" customHeight="1">
      <c r="A219" s="75" t="s">
        <v>151</v>
      </c>
      <c r="B219" s="94" t="s">
        <v>943</v>
      </c>
      <c r="C219" s="83" t="s">
        <v>739</v>
      </c>
      <c r="D219" s="80">
        <f>16+44+12</f>
        <v>72</v>
      </c>
      <c r="E219" s="80" t="s">
        <v>944</v>
      </c>
      <c r="F219" s="91">
        <v>27.3</v>
      </c>
      <c r="G219" s="92">
        <f>Plan1!D219*Plan1!F219</f>
        <v>1965.6000000000001</v>
      </c>
    </row>
    <row r="220" spans="1:7" ht="25.5" customHeight="1">
      <c r="A220" s="75" t="s">
        <v>155</v>
      </c>
      <c r="B220" s="94" t="s">
        <v>949</v>
      </c>
      <c r="C220" s="83" t="s">
        <v>739</v>
      </c>
      <c r="D220" s="87">
        <f>786+240</f>
        <v>1026</v>
      </c>
      <c r="E220" s="80" t="s">
        <v>749</v>
      </c>
      <c r="F220" s="91">
        <v>18.08</v>
      </c>
      <c r="G220" s="92">
        <f>Plan1!D220*Plan1!F220</f>
        <v>18550.079999999998</v>
      </c>
    </row>
    <row r="221" spans="1:7" ht="25.5" customHeight="1">
      <c r="A221" s="75" t="s">
        <v>157</v>
      </c>
      <c r="B221" s="79" t="s">
        <v>1150</v>
      </c>
      <c r="C221" s="83" t="s">
        <v>739</v>
      </c>
      <c r="D221" s="80">
        <v>179</v>
      </c>
      <c r="E221" s="80" t="s">
        <v>952</v>
      </c>
      <c r="F221" s="91">
        <v>104.99</v>
      </c>
      <c r="G221" s="92">
        <f>Plan1!D221*Plan1!F221</f>
        <v>18793.21</v>
      </c>
    </row>
    <row r="222" spans="1:7" ht="25.5" customHeight="1">
      <c r="A222" s="75" t="s">
        <v>160</v>
      </c>
      <c r="B222" s="79" t="s">
        <v>1151</v>
      </c>
      <c r="C222" s="83" t="s">
        <v>739</v>
      </c>
      <c r="D222" s="80">
        <v>16</v>
      </c>
      <c r="E222" s="80" t="s">
        <v>955</v>
      </c>
      <c r="F222" s="91">
        <v>114.99</v>
      </c>
      <c r="G222" s="92">
        <f>Plan1!D222*Plan1!F222</f>
        <v>1839.84</v>
      </c>
    </row>
    <row r="223" spans="1:7" ht="38.25" customHeight="1">
      <c r="A223" s="75" t="s">
        <v>154</v>
      </c>
      <c r="B223" s="79" t="s">
        <v>957</v>
      </c>
      <c r="C223" s="83" t="s">
        <v>739</v>
      </c>
      <c r="D223" s="80">
        <v>20</v>
      </c>
      <c r="E223" s="80" t="s">
        <v>958</v>
      </c>
      <c r="F223" s="91">
        <v>39.99</v>
      </c>
      <c r="G223" s="92">
        <f>Plan1!D223*Plan1!F223</f>
        <v>799.8000000000001</v>
      </c>
    </row>
    <row r="224" spans="1:7" ht="15" customHeight="1">
      <c r="A224" s="75" t="s">
        <v>180</v>
      </c>
      <c r="B224" s="79" t="s">
        <v>1152</v>
      </c>
      <c r="C224" s="83" t="s">
        <v>739</v>
      </c>
      <c r="D224" s="80">
        <v>25</v>
      </c>
      <c r="E224" s="80" t="s">
        <v>961</v>
      </c>
      <c r="F224" s="91">
        <v>69.99</v>
      </c>
      <c r="G224" s="92">
        <f>Plan1!D224*Plan1!F224</f>
        <v>1749.7499999999998</v>
      </c>
    </row>
    <row r="225" spans="1:7" ht="25.5" customHeight="1">
      <c r="A225" s="75" t="s">
        <v>183</v>
      </c>
      <c r="B225" s="94" t="s">
        <v>963</v>
      </c>
      <c r="C225" s="83" t="s">
        <v>739</v>
      </c>
      <c r="D225" s="87">
        <v>195</v>
      </c>
      <c r="E225" s="80" t="s">
        <v>964</v>
      </c>
      <c r="F225" s="91">
        <v>81.99</v>
      </c>
      <c r="G225" s="92">
        <f>Plan1!D225*Plan1!F225</f>
        <v>15988.05</v>
      </c>
    </row>
    <row r="226" spans="1:7" ht="25.5" customHeight="1">
      <c r="A226" s="75" t="s">
        <v>186</v>
      </c>
      <c r="B226" s="94" t="s">
        <v>966</v>
      </c>
      <c r="C226" s="83" t="s">
        <v>739</v>
      </c>
      <c r="D226" s="87">
        <v>25</v>
      </c>
      <c r="E226" s="80" t="s">
        <v>967</v>
      </c>
      <c r="F226" s="91">
        <v>44.99</v>
      </c>
      <c r="G226" s="92">
        <f>Plan1!D226*Plan1!F226</f>
        <v>1124.75</v>
      </c>
    </row>
    <row r="227" spans="1:7" ht="15" customHeight="1">
      <c r="A227" s="75" t="s">
        <v>187</v>
      </c>
      <c r="B227" s="94" t="s">
        <v>969</v>
      </c>
      <c r="C227" s="83" t="s">
        <v>739</v>
      </c>
      <c r="D227" s="87">
        <v>500</v>
      </c>
      <c r="E227" s="80" t="s">
        <v>970</v>
      </c>
      <c r="F227" s="91">
        <v>7.49</v>
      </c>
      <c r="G227" s="92">
        <f>Plan1!D227*Plan1!F227</f>
        <v>3745</v>
      </c>
    </row>
    <row r="228" spans="1:7" ht="15" customHeight="1">
      <c r="A228" s="75" t="s">
        <v>190</v>
      </c>
      <c r="B228" s="79" t="s">
        <v>1153</v>
      </c>
      <c r="C228" s="83" t="s">
        <v>739</v>
      </c>
      <c r="D228" s="80">
        <v>210</v>
      </c>
      <c r="E228" s="80" t="s">
        <v>964</v>
      </c>
      <c r="F228" s="91">
        <v>81.99</v>
      </c>
      <c r="G228" s="92">
        <f>Plan1!D228*Plan1!F228</f>
        <v>17217.899999999998</v>
      </c>
    </row>
    <row r="229" spans="1:7" ht="15" customHeight="1">
      <c r="A229" s="75" t="s">
        <v>193</v>
      </c>
      <c r="B229" s="79" t="s">
        <v>1154</v>
      </c>
      <c r="C229" s="83" t="s">
        <v>739</v>
      </c>
      <c r="D229" s="80">
        <v>395</v>
      </c>
      <c r="E229" s="80" t="s">
        <v>973</v>
      </c>
      <c r="F229" s="91">
        <v>14.99</v>
      </c>
      <c r="G229" s="92">
        <f>Plan1!D229*Plan1!F229</f>
        <v>5921.05</v>
      </c>
    </row>
    <row r="230" spans="1:7" ht="25.5" customHeight="1">
      <c r="A230" s="75" t="s">
        <v>196</v>
      </c>
      <c r="B230" s="79" t="s">
        <v>1155</v>
      </c>
      <c r="C230" s="83" t="s">
        <v>739</v>
      </c>
      <c r="D230" s="80">
        <v>40</v>
      </c>
      <c r="E230" s="80" t="s">
        <v>976</v>
      </c>
      <c r="F230" s="91">
        <v>17.99</v>
      </c>
      <c r="G230" s="92">
        <f>Plan1!D230*Plan1!F230</f>
        <v>719.5999999999999</v>
      </c>
    </row>
    <row r="231" spans="1:7" ht="15" customHeight="1">
      <c r="A231" s="75" t="s">
        <v>199</v>
      </c>
      <c r="B231" s="79" t="s">
        <v>880</v>
      </c>
      <c r="C231" s="83" t="s">
        <v>739</v>
      </c>
      <c r="D231" s="80">
        <v>285</v>
      </c>
      <c r="E231" s="80" t="s">
        <v>881</v>
      </c>
      <c r="F231" s="91">
        <v>1.56</v>
      </c>
      <c r="G231" s="92">
        <f>Plan1!D231*Plan1!F231</f>
        <v>444.6</v>
      </c>
    </row>
    <row r="232" spans="1:7" ht="15" customHeight="1">
      <c r="A232" s="75" t="s">
        <v>202</v>
      </c>
      <c r="B232" s="79" t="s">
        <v>1156</v>
      </c>
      <c r="C232" s="80" t="s">
        <v>739</v>
      </c>
      <c r="D232" s="80">
        <v>391</v>
      </c>
      <c r="E232" s="83" t="s">
        <v>878</v>
      </c>
      <c r="F232" s="81">
        <v>2.13</v>
      </c>
      <c r="G232" s="92">
        <f>Plan1!D232*Plan1!F232</f>
        <v>832.8299999999999</v>
      </c>
    </row>
    <row r="233" spans="1:7" ht="25.5" customHeight="1">
      <c r="A233" s="75" t="s">
        <v>205</v>
      </c>
      <c r="B233" s="79" t="s">
        <v>1157</v>
      </c>
      <c r="C233" s="80" t="s">
        <v>739</v>
      </c>
      <c r="D233" s="80">
        <v>111</v>
      </c>
      <c r="E233" s="80" t="s">
        <v>697</v>
      </c>
      <c r="F233" s="91">
        <v>6.13</v>
      </c>
      <c r="G233" s="92">
        <f>Plan1!D233*Plan1!F233</f>
        <v>680.43</v>
      </c>
    </row>
    <row r="234" spans="1:7" ht="15" customHeight="1">
      <c r="A234" s="75" t="s">
        <v>206</v>
      </c>
      <c r="B234" s="94" t="s">
        <v>984</v>
      </c>
      <c r="C234" s="80" t="s">
        <v>739</v>
      </c>
      <c r="D234" s="83">
        <v>446</v>
      </c>
      <c r="E234" s="83" t="s">
        <v>985</v>
      </c>
      <c r="F234" s="91">
        <v>5.56</v>
      </c>
      <c r="G234" s="92">
        <f>Plan1!D234*Plan1!F234</f>
        <v>2479.7599999999998</v>
      </c>
    </row>
    <row r="235" spans="1:7" ht="15" customHeight="1">
      <c r="A235" s="75" t="s">
        <v>207</v>
      </c>
      <c r="B235" s="94" t="s">
        <v>1158</v>
      </c>
      <c r="C235" s="80" t="s">
        <v>739</v>
      </c>
      <c r="D235" s="83">
        <v>6</v>
      </c>
      <c r="E235" s="80" t="s">
        <v>1159</v>
      </c>
      <c r="F235" s="91">
        <v>11.58</v>
      </c>
      <c r="G235" s="92">
        <f>Plan1!D235*Plan1!F235</f>
        <v>69.48</v>
      </c>
    </row>
    <row r="236" spans="1:7" ht="15" customHeight="1">
      <c r="A236" s="75" t="s">
        <v>208</v>
      </c>
      <c r="B236" s="94" t="s">
        <v>1160</v>
      </c>
      <c r="C236" s="80" t="s">
        <v>739</v>
      </c>
      <c r="D236" s="83">
        <v>2</v>
      </c>
      <c r="E236" s="83" t="s">
        <v>1161</v>
      </c>
      <c r="F236" s="91">
        <v>11.72</v>
      </c>
      <c r="G236" s="92">
        <f>Plan1!D236*Plan1!F236</f>
        <v>23.44</v>
      </c>
    </row>
    <row r="237" spans="1:7" ht="15" customHeight="1">
      <c r="A237" s="75" t="s">
        <v>211</v>
      </c>
      <c r="B237" s="94" t="s">
        <v>1162</v>
      </c>
      <c r="C237" s="80" t="s">
        <v>739</v>
      </c>
      <c r="D237" s="83">
        <v>78</v>
      </c>
      <c r="E237" s="80" t="s">
        <v>990</v>
      </c>
      <c r="F237" s="91">
        <v>8.14</v>
      </c>
      <c r="G237" s="92">
        <f>Plan1!D237*Plan1!F237</f>
        <v>634.9200000000001</v>
      </c>
    </row>
    <row r="238" spans="1:7" ht="15" customHeight="1">
      <c r="A238" s="75" t="s">
        <v>214</v>
      </c>
      <c r="B238" s="94" t="s">
        <v>1163</v>
      </c>
      <c r="C238" s="80" t="s">
        <v>739</v>
      </c>
      <c r="D238" s="83">
        <v>8</v>
      </c>
      <c r="E238" s="83" t="s">
        <v>998</v>
      </c>
      <c r="F238" s="91">
        <v>11.52</v>
      </c>
      <c r="G238" s="92">
        <f>Plan1!D238*Plan1!F238</f>
        <v>92.16</v>
      </c>
    </row>
    <row r="239" spans="1:7" ht="15" customHeight="1">
      <c r="A239" s="75" t="s">
        <v>1164</v>
      </c>
      <c r="B239" s="94" t="s">
        <v>1165</v>
      </c>
      <c r="C239" s="80" t="s">
        <v>739</v>
      </c>
      <c r="D239" s="83">
        <v>1</v>
      </c>
      <c r="E239" s="80" t="s">
        <v>1166</v>
      </c>
      <c r="F239" s="91">
        <v>55.14</v>
      </c>
      <c r="G239" s="92">
        <f>Plan1!D239*Plan1!F239</f>
        <v>55.14</v>
      </c>
    </row>
    <row r="240" spans="1:7" ht="15" customHeight="1">
      <c r="A240" s="75" t="s">
        <v>1167</v>
      </c>
      <c r="B240" s="94" t="s">
        <v>1168</v>
      </c>
      <c r="C240" s="80" t="s">
        <v>739</v>
      </c>
      <c r="D240" s="83">
        <v>36</v>
      </c>
      <c r="E240" s="80" t="s">
        <v>1018</v>
      </c>
      <c r="F240" s="91">
        <v>35.92</v>
      </c>
      <c r="G240" s="92">
        <f>Plan1!D240*Plan1!F240</f>
        <v>1293.1200000000001</v>
      </c>
    </row>
    <row r="241" spans="1:7" ht="25.5" customHeight="1">
      <c r="A241" s="75" t="s">
        <v>1169</v>
      </c>
      <c r="B241" s="94" t="s">
        <v>1170</v>
      </c>
      <c r="C241" s="80" t="s">
        <v>739</v>
      </c>
      <c r="D241" s="83">
        <v>4</v>
      </c>
      <c r="E241" s="80" t="s">
        <v>1171</v>
      </c>
      <c r="F241" s="91">
        <v>591.14</v>
      </c>
      <c r="G241" s="92">
        <f>Plan1!D241*Plan1!F241</f>
        <v>2364.56</v>
      </c>
    </row>
    <row r="242" spans="1:7" ht="15" customHeight="1">
      <c r="A242" s="75" t="s">
        <v>1172</v>
      </c>
      <c r="B242" s="94" t="s">
        <v>1173</v>
      </c>
      <c r="C242" s="80" t="s">
        <v>133</v>
      </c>
      <c r="D242" s="83">
        <v>121</v>
      </c>
      <c r="E242" s="80" t="s">
        <v>1046</v>
      </c>
      <c r="F242" s="91">
        <v>100.83</v>
      </c>
      <c r="G242" s="92">
        <f>Plan1!D242*Plan1!F242</f>
        <v>12200.43</v>
      </c>
    </row>
    <row r="243" spans="1:7" ht="15" customHeight="1">
      <c r="A243" s="75" t="s">
        <v>1174</v>
      </c>
      <c r="B243" s="94" t="s">
        <v>1175</v>
      </c>
      <c r="C243" s="80" t="s">
        <v>739</v>
      </c>
      <c r="D243" s="83">
        <v>130</v>
      </c>
      <c r="E243" s="80" t="s">
        <v>181</v>
      </c>
      <c r="F243" s="91">
        <v>5.93</v>
      </c>
      <c r="G243" s="92">
        <f>Plan1!D243*Plan1!F243</f>
        <v>770.9</v>
      </c>
    </row>
    <row r="244" spans="1:7" ht="15" customHeight="1">
      <c r="A244" s="75" t="s">
        <v>1176</v>
      </c>
      <c r="B244" s="94" t="s">
        <v>1177</v>
      </c>
      <c r="C244" s="80" t="s">
        <v>739</v>
      </c>
      <c r="D244" s="83">
        <v>33</v>
      </c>
      <c r="E244" s="80" t="s">
        <v>264</v>
      </c>
      <c r="F244" s="91">
        <v>9.33</v>
      </c>
      <c r="G244" s="92">
        <f>Plan1!D244*Plan1!F244</f>
        <v>307.89</v>
      </c>
    </row>
    <row r="245" spans="1:7" ht="15" customHeight="1">
      <c r="A245" s="75" t="s">
        <v>1178</v>
      </c>
      <c r="B245" s="94" t="s">
        <v>1179</v>
      </c>
      <c r="C245" s="80" t="s">
        <v>739</v>
      </c>
      <c r="D245" s="83">
        <v>106</v>
      </c>
      <c r="E245" s="80" t="s">
        <v>1053</v>
      </c>
      <c r="F245" s="91">
        <v>7.53</v>
      </c>
      <c r="G245" s="92">
        <f>Plan1!D245*Plan1!F245</f>
        <v>798.1800000000001</v>
      </c>
    </row>
    <row r="246" spans="1:7" ht="15" customHeight="1">
      <c r="A246" s="75" t="s">
        <v>1180</v>
      </c>
      <c r="B246" s="94" t="s">
        <v>1181</v>
      </c>
      <c r="C246" s="80" t="s">
        <v>739</v>
      </c>
      <c r="D246" s="83">
        <v>15</v>
      </c>
      <c r="E246" s="80" t="s">
        <v>1056</v>
      </c>
      <c r="F246" s="91">
        <v>9.73</v>
      </c>
      <c r="G246" s="92">
        <f>Plan1!D246*Plan1!F246</f>
        <v>145.95000000000002</v>
      </c>
    </row>
    <row r="247" spans="1:7" ht="15" customHeight="1">
      <c r="A247" s="75" t="s">
        <v>1182</v>
      </c>
      <c r="B247" s="94" t="s">
        <v>1060</v>
      </c>
      <c r="C247" s="80" t="s">
        <v>739</v>
      </c>
      <c r="D247" s="83">
        <v>65</v>
      </c>
      <c r="E247" s="80" t="s">
        <v>1061</v>
      </c>
      <c r="F247" s="91">
        <v>8.41</v>
      </c>
      <c r="G247" s="92">
        <f>Plan1!D247*Plan1!F247</f>
        <v>546.65</v>
      </c>
    </row>
    <row r="248" spans="1:7" ht="15" customHeight="1">
      <c r="A248" s="75" t="s">
        <v>1183</v>
      </c>
      <c r="B248" s="94" t="s">
        <v>1184</v>
      </c>
      <c r="C248" s="80" t="s">
        <v>739</v>
      </c>
      <c r="D248" s="83">
        <v>19</v>
      </c>
      <c r="E248" s="80" t="s">
        <v>1064</v>
      </c>
      <c r="F248" s="91">
        <v>4.71</v>
      </c>
      <c r="G248" s="92">
        <f>Plan1!D248*Plan1!F248</f>
        <v>89.49</v>
      </c>
    </row>
    <row r="249" spans="1:7" ht="25.5" customHeight="1">
      <c r="A249" s="75" t="s">
        <v>1185</v>
      </c>
      <c r="B249" s="99" t="s">
        <v>1186</v>
      </c>
      <c r="C249" s="100" t="s">
        <v>739</v>
      </c>
      <c r="D249" s="93">
        <v>3</v>
      </c>
      <c r="E249" s="100" t="s">
        <v>1187</v>
      </c>
      <c r="F249" s="101">
        <v>14.63</v>
      </c>
      <c r="G249" s="102">
        <f>Plan1!D249*Plan1!F249</f>
        <v>43.89</v>
      </c>
    </row>
    <row r="250" spans="1:7" ht="25.5" customHeight="1">
      <c r="A250" s="75" t="s">
        <v>1188</v>
      </c>
      <c r="B250" s="94" t="s">
        <v>1189</v>
      </c>
      <c r="C250" s="80" t="s">
        <v>739</v>
      </c>
      <c r="D250" s="83">
        <v>16</v>
      </c>
      <c r="E250" s="80" t="s">
        <v>1070</v>
      </c>
      <c r="F250" s="91">
        <v>18.23</v>
      </c>
      <c r="G250" s="92">
        <f>Plan1!D250*Plan1!F250</f>
        <v>291.68</v>
      </c>
    </row>
    <row r="251" spans="1:7" ht="15" customHeight="1">
      <c r="A251" s="75" t="s">
        <v>1190</v>
      </c>
      <c r="B251" s="94" t="s">
        <v>1072</v>
      </c>
      <c r="C251" s="80" t="s">
        <v>739</v>
      </c>
      <c r="D251" s="83">
        <v>1470</v>
      </c>
      <c r="E251" s="80" t="s">
        <v>1073</v>
      </c>
      <c r="F251" s="91">
        <v>0.85</v>
      </c>
      <c r="G251" s="92">
        <f>Plan1!D251*Plan1!F251</f>
        <v>1249.5</v>
      </c>
    </row>
    <row r="252" spans="1:7" ht="15" customHeight="1">
      <c r="A252" s="75" t="s">
        <v>1191</v>
      </c>
      <c r="B252" s="94" t="s">
        <v>1192</v>
      </c>
      <c r="C252" s="80" t="s">
        <v>739</v>
      </c>
      <c r="D252" s="83">
        <v>248</v>
      </c>
      <c r="E252" s="80" t="s">
        <v>1076</v>
      </c>
      <c r="F252" s="91">
        <v>1.6</v>
      </c>
      <c r="G252" s="92">
        <f>Plan1!D252*Plan1!F252</f>
        <v>396.8</v>
      </c>
    </row>
    <row r="253" spans="1:7" ht="15" customHeight="1">
      <c r="A253" s="75" t="s">
        <v>1193</v>
      </c>
      <c r="B253" s="94" t="s">
        <v>1078</v>
      </c>
      <c r="C253" s="80" t="s">
        <v>739</v>
      </c>
      <c r="D253" s="83">
        <v>1476</v>
      </c>
      <c r="E253" s="80" t="s">
        <v>1079</v>
      </c>
      <c r="F253" s="91">
        <v>0.83</v>
      </c>
      <c r="G253" s="92">
        <f>Plan1!D253*Plan1!F253</f>
        <v>1225.08</v>
      </c>
    </row>
    <row r="254" spans="1:7" ht="15" customHeight="1">
      <c r="A254" s="75" t="s">
        <v>1194</v>
      </c>
      <c r="B254" s="94" t="s">
        <v>1081</v>
      </c>
      <c r="C254" s="80" t="s">
        <v>739</v>
      </c>
      <c r="D254" s="83">
        <v>900</v>
      </c>
      <c r="E254" s="80" t="s">
        <v>772</v>
      </c>
      <c r="F254" s="91">
        <v>0.81</v>
      </c>
      <c r="G254" s="92">
        <f>Plan1!D254*Plan1!F254</f>
        <v>729</v>
      </c>
    </row>
    <row r="255" spans="1:7" ht="15" customHeight="1">
      <c r="A255" s="75" t="s">
        <v>1195</v>
      </c>
      <c r="B255" s="94" t="s">
        <v>1083</v>
      </c>
      <c r="C255" s="80" t="s">
        <v>739</v>
      </c>
      <c r="D255" s="83">
        <v>1746</v>
      </c>
      <c r="E255" s="80" t="s">
        <v>1084</v>
      </c>
      <c r="F255" s="91">
        <v>0.75</v>
      </c>
      <c r="G255" s="92">
        <f>Plan1!D255*Plan1!F255</f>
        <v>1309.5</v>
      </c>
    </row>
    <row r="256" spans="1:7" ht="15" customHeight="1">
      <c r="A256" s="75" t="s">
        <v>1196</v>
      </c>
      <c r="B256" s="94" t="s">
        <v>1086</v>
      </c>
      <c r="C256" s="80" t="s">
        <v>739</v>
      </c>
      <c r="D256" s="83">
        <v>900</v>
      </c>
      <c r="E256" s="80" t="s">
        <v>672</v>
      </c>
      <c r="F256" s="91">
        <v>0.74</v>
      </c>
      <c r="G256" s="92">
        <f>Plan1!D256*Plan1!F256</f>
        <v>666</v>
      </c>
    </row>
    <row r="257" spans="1:7" ht="15" customHeight="1">
      <c r="A257" s="75" t="s">
        <v>1197</v>
      </c>
      <c r="B257" s="94" t="s">
        <v>883</v>
      </c>
      <c r="C257" s="80" t="s">
        <v>739</v>
      </c>
      <c r="D257" s="83">
        <f>150+840</f>
        <v>990</v>
      </c>
      <c r="E257" s="80" t="s">
        <v>763</v>
      </c>
      <c r="F257" s="91">
        <v>1.68</v>
      </c>
      <c r="G257" s="92">
        <f>Plan1!D257*Plan1!F257</f>
        <v>1663.2</v>
      </c>
    </row>
    <row r="258" spans="1:7" ht="15" customHeight="1">
      <c r="A258" s="75" t="s">
        <v>1198</v>
      </c>
      <c r="B258" s="94" t="s">
        <v>1104</v>
      </c>
      <c r="C258" s="80" t="s">
        <v>739</v>
      </c>
      <c r="D258" s="83">
        <v>31</v>
      </c>
      <c r="E258" s="80" t="s">
        <v>288</v>
      </c>
      <c r="F258" s="91">
        <v>7.28</v>
      </c>
      <c r="G258" s="92">
        <f>Plan1!D258*Plan1!F258</f>
        <v>225.68</v>
      </c>
    </row>
    <row r="259" spans="1:7" ht="25.5" customHeight="1">
      <c r="A259" s="75" t="s">
        <v>1199</v>
      </c>
      <c r="B259" s="94" t="s">
        <v>1200</v>
      </c>
      <c r="C259" s="80" t="s">
        <v>715</v>
      </c>
      <c r="D259" s="83">
        <v>24</v>
      </c>
      <c r="E259" s="80" t="s">
        <v>692</v>
      </c>
      <c r="F259" s="91">
        <v>120.28</v>
      </c>
      <c r="G259" s="92">
        <f>Plan1!D259*Plan1!F259</f>
        <v>2886.7200000000003</v>
      </c>
    </row>
    <row r="260" spans="1:7" ht="15" customHeight="1">
      <c r="A260" s="75" t="s">
        <v>1201</v>
      </c>
      <c r="B260" s="94" t="s">
        <v>1202</v>
      </c>
      <c r="C260" s="80" t="s">
        <v>739</v>
      </c>
      <c r="D260" s="83">
        <v>2</v>
      </c>
      <c r="E260" s="80" t="s">
        <v>141</v>
      </c>
      <c r="F260" s="91">
        <v>111.38</v>
      </c>
      <c r="G260" s="92">
        <f>Plan1!D260*Plan1!F260</f>
        <v>222.76</v>
      </c>
    </row>
    <row r="261" spans="1:7" ht="25.5" customHeight="1">
      <c r="A261" s="75" t="s">
        <v>1203</v>
      </c>
      <c r="B261" s="94" t="s">
        <v>1204</v>
      </c>
      <c r="C261" s="80" t="s">
        <v>739</v>
      </c>
      <c r="D261" s="83">
        <v>14</v>
      </c>
      <c r="E261" s="80" t="s">
        <v>1205</v>
      </c>
      <c r="F261" s="91">
        <v>35.71</v>
      </c>
      <c r="G261" s="92">
        <f>Plan1!D261*Plan1!F261</f>
        <v>499.94</v>
      </c>
    </row>
    <row r="262" spans="1:7" ht="15" customHeight="1">
      <c r="A262" s="75" t="s">
        <v>1206</v>
      </c>
      <c r="B262" s="94" t="s">
        <v>1207</v>
      </c>
      <c r="C262" s="80" t="s">
        <v>739</v>
      </c>
      <c r="D262" s="83">
        <v>3</v>
      </c>
      <c r="E262" s="80" t="s">
        <v>1108</v>
      </c>
      <c r="F262" s="91">
        <v>0.91</v>
      </c>
      <c r="G262" s="92">
        <f>Plan1!D262*Plan1!F262</f>
        <v>2.73</v>
      </c>
    </row>
    <row r="263" spans="1:7" ht="15" customHeight="1">
      <c r="A263" s="75" t="s">
        <v>1208</v>
      </c>
      <c r="B263" s="94" t="s">
        <v>1209</v>
      </c>
      <c r="C263" s="80" t="s">
        <v>739</v>
      </c>
      <c r="D263" s="83">
        <v>3</v>
      </c>
      <c r="E263" s="80" t="s">
        <v>1084</v>
      </c>
      <c r="F263" s="91">
        <v>0.75</v>
      </c>
      <c r="G263" s="92">
        <f>Plan1!D263*Plan1!F263</f>
        <v>2.25</v>
      </c>
    </row>
    <row r="264" spans="1:7" ht="15" customHeight="1">
      <c r="A264" s="75" t="s">
        <v>1210</v>
      </c>
      <c r="B264" s="94" t="s">
        <v>848</v>
      </c>
      <c r="C264" s="80" t="s">
        <v>739</v>
      </c>
      <c r="D264" s="83">
        <v>84</v>
      </c>
      <c r="E264" s="80" t="s">
        <v>849</v>
      </c>
      <c r="F264" s="91">
        <v>5.31</v>
      </c>
      <c r="G264" s="92">
        <f>Plan1!D264*Plan1!F264</f>
        <v>446.03999999999996</v>
      </c>
    </row>
    <row r="265" spans="1:7" ht="25.5" customHeight="1">
      <c r="A265" s="75" t="s">
        <v>1211</v>
      </c>
      <c r="B265" s="94" t="s">
        <v>857</v>
      </c>
      <c r="C265" s="80" t="s">
        <v>739</v>
      </c>
      <c r="D265" s="83">
        <v>15</v>
      </c>
      <c r="E265" s="83" t="s">
        <v>858</v>
      </c>
      <c r="F265" s="91">
        <v>148.52</v>
      </c>
      <c r="G265" s="92">
        <f>Plan1!D265*Plan1!F265</f>
        <v>2227.8</v>
      </c>
    </row>
    <row r="266" spans="1:7" ht="25.5" customHeight="1">
      <c r="A266" s="75" t="s">
        <v>1212</v>
      </c>
      <c r="B266" s="94" t="s">
        <v>860</v>
      </c>
      <c r="C266" s="80" t="s">
        <v>739</v>
      </c>
      <c r="D266" s="83">
        <v>3</v>
      </c>
      <c r="E266" s="83" t="s">
        <v>861</v>
      </c>
      <c r="F266" s="91">
        <v>258.52</v>
      </c>
      <c r="G266" s="92">
        <f>Plan1!D266*Plan1!F266</f>
        <v>775.56</v>
      </c>
    </row>
    <row r="267" spans="1:7" ht="38.25" customHeight="1">
      <c r="A267" s="75" t="s">
        <v>1213</v>
      </c>
      <c r="B267" s="94" t="s">
        <v>863</v>
      </c>
      <c r="C267" s="80" t="s">
        <v>739</v>
      </c>
      <c r="D267" s="83">
        <v>21</v>
      </c>
      <c r="E267" s="83" t="s">
        <v>864</v>
      </c>
      <c r="F267" s="91">
        <v>103.52</v>
      </c>
      <c r="G267" s="92">
        <f>Plan1!D267*Plan1!F267</f>
        <v>2173.92</v>
      </c>
    </row>
    <row r="268" spans="1:7" ht="38.25" customHeight="1">
      <c r="A268" s="75" t="s">
        <v>1214</v>
      </c>
      <c r="B268" s="94" t="s">
        <v>1215</v>
      </c>
      <c r="C268" s="80" t="s">
        <v>739</v>
      </c>
      <c r="D268" s="83">
        <v>3</v>
      </c>
      <c r="E268" s="83" t="s">
        <v>867</v>
      </c>
      <c r="F268" s="91">
        <v>163.52</v>
      </c>
      <c r="G268" s="92">
        <f>Plan1!D268*Plan1!F268</f>
        <v>490.56000000000006</v>
      </c>
    </row>
    <row r="269" spans="1:7" ht="15" customHeight="1">
      <c r="A269" s="75" t="s">
        <v>1216</v>
      </c>
      <c r="B269" s="97" t="s">
        <v>869</v>
      </c>
      <c r="C269" s="80" t="s">
        <v>739</v>
      </c>
      <c r="D269" s="83">
        <v>6</v>
      </c>
      <c r="E269" s="83" t="s">
        <v>870</v>
      </c>
      <c r="F269" s="91">
        <v>31.43</v>
      </c>
      <c r="G269" s="92">
        <f>Plan1!D269*Plan1!F269</f>
        <v>188.57999999999998</v>
      </c>
    </row>
    <row r="270" spans="1:7" ht="15" customHeight="1">
      <c r="A270" s="75" t="s">
        <v>1217</v>
      </c>
      <c r="B270" s="94" t="s">
        <v>1218</v>
      </c>
      <c r="C270" s="83" t="s">
        <v>739</v>
      </c>
      <c r="D270" s="87">
        <v>2</v>
      </c>
      <c r="E270" s="83" t="s">
        <v>1126</v>
      </c>
      <c r="F270" s="91">
        <v>102.94</v>
      </c>
      <c r="G270" s="92">
        <f>Plan1!D270*Plan1!F270</f>
        <v>205.88</v>
      </c>
    </row>
    <row r="271" spans="1:7" ht="15" customHeight="1">
      <c r="A271" s="75" t="s">
        <v>1219</v>
      </c>
      <c r="B271" s="97" t="s">
        <v>872</v>
      </c>
      <c r="C271" s="80" t="s">
        <v>739</v>
      </c>
      <c r="D271" s="83">
        <v>6</v>
      </c>
      <c r="E271" s="80" t="s">
        <v>701</v>
      </c>
      <c r="F271" s="91">
        <v>56.15</v>
      </c>
      <c r="G271" s="92">
        <f>Plan1!D271*Plan1!F271</f>
        <v>336.9</v>
      </c>
    </row>
    <row r="272" spans="1:7" ht="15" customHeight="1">
      <c r="A272" s="75" t="s">
        <v>1220</v>
      </c>
      <c r="B272" s="94" t="s">
        <v>887</v>
      </c>
      <c r="C272" s="83" t="s">
        <v>739</v>
      </c>
      <c r="D272" s="80">
        <v>240</v>
      </c>
      <c r="E272" s="80" t="s">
        <v>888</v>
      </c>
      <c r="F272" s="91">
        <v>4.31</v>
      </c>
      <c r="G272" s="92">
        <f>Plan1!D272*Plan1!F272</f>
        <v>1034.3999999999999</v>
      </c>
    </row>
    <row r="273" spans="1:7" ht="15" customHeight="1">
      <c r="A273" s="75" t="s">
        <v>1221</v>
      </c>
      <c r="B273" s="97" t="s">
        <v>1222</v>
      </c>
      <c r="C273" s="80" t="s">
        <v>133</v>
      </c>
      <c r="D273" s="83">
        <v>300</v>
      </c>
      <c r="E273" s="80" t="s">
        <v>1130</v>
      </c>
      <c r="F273" s="91">
        <v>3.86</v>
      </c>
      <c r="G273" s="92">
        <f>Plan1!D273*Plan1!F273</f>
        <v>1158</v>
      </c>
    </row>
    <row r="274" spans="1:7" ht="25.5" customHeight="1">
      <c r="A274" s="75" t="s">
        <v>1223</v>
      </c>
      <c r="B274" s="94" t="s">
        <v>1132</v>
      </c>
      <c r="C274" s="83" t="s">
        <v>739</v>
      </c>
      <c r="D274" s="80">
        <v>240</v>
      </c>
      <c r="E274" s="80" t="s">
        <v>1133</v>
      </c>
      <c r="F274" s="91">
        <v>3.81</v>
      </c>
      <c r="G274" s="92">
        <f>Plan1!D274*Plan1!F274</f>
        <v>914.4</v>
      </c>
    </row>
    <row r="275" spans="1:7" ht="15" customHeight="1">
      <c r="A275" s="103"/>
      <c r="B275" s="737" t="s">
        <v>668</v>
      </c>
      <c r="C275" s="737"/>
      <c r="D275" s="737"/>
      <c r="E275" s="737"/>
      <c r="F275" s="737"/>
      <c r="G275" s="95">
        <f>SUM(Plan1!G205:G274)</f>
        <v>163745.63999999996</v>
      </c>
    </row>
    <row r="276" spans="1:7" ht="15" customHeight="1">
      <c r="A276" s="98" t="s">
        <v>217</v>
      </c>
      <c r="B276" s="736" t="s">
        <v>1224</v>
      </c>
      <c r="C276" s="736"/>
      <c r="D276" s="736"/>
      <c r="E276" s="736"/>
      <c r="F276" s="736"/>
      <c r="G276" s="736"/>
    </row>
    <row r="277" spans="1:7" ht="25.5" customHeight="1">
      <c r="A277" s="75" t="s">
        <v>109</v>
      </c>
      <c r="B277" s="94" t="s">
        <v>890</v>
      </c>
      <c r="C277" s="83" t="s">
        <v>893</v>
      </c>
      <c r="D277" s="87">
        <f>726+153+51+327.5</f>
        <v>1257.5</v>
      </c>
      <c r="E277" s="80" t="s">
        <v>891</v>
      </c>
      <c r="F277" s="91">
        <v>5.08</v>
      </c>
      <c r="G277" s="92">
        <f>Plan1!D277*Plan1!F277</f>
        <v>6388.1</v>
      </c>
    </row>
    <row r="278" spans="1:7" ht="25.5" customHeight="1">
      <c r="A278" s="75" t="s">
        <v>221</v>
      </c>
      <c r="B278" s="94" t="s">
        <v>895</v>
      </c>
      <c r="C278" s="83" t="s">
        <v>133</v>
      </c>
      <c r="D278" s="87">
        <f>640+577.6+303</f>
        <v>1520.6</v>
      </c>
      <c r="E278" s="80" t="s">
        <v>896</v>
      </c>
      <c r="F278" s="91">
        <v>2.84</v>
      </c>
      <c r="G278" s="92">
        <f>Plan1!D278*Plan1!F278</f>
        <v>4318.504</v>
      </c>
    </row>
    <row r="279" spans="1:7" ht="25.5" customHeight="1">
      <c r="A279" s="75" t="s">
        <v>224</v>
      </c>
      <c r="B279" s="94" t="s">
        <v>897</v>
      </c>
      <c r="C279" s="83" t="s">
        <v>133</v>
      </c>
      <c r="D279" s="87">
        <f>1245+1229.3+209</f>
        <v>2683.3</v>
      </c>
      <c r="E279" s="80" t="s">
        <v>896</v>
      </c>
      <c r="F279" s="91">
        <v>2.84</v>
      </c>
      <c r="G279" s="92">
        <f>Plan1!D279*Plan1!F279</f>
        <v>7620.572</v>
      </c>
    </row>
    <row r="280" spans="1:7" ht="25.5" customHeight="1">
      <c r="A280" s="75" t="s">
        <v>227</v>
      </c>
      <c r="B280" s="94" t="s">
        <v>898</v>
      </c>
      <c r="C280" s="83" t="s">
        <v>133</v>
      </c>
      <c r="D280" s="87">
        <f>1245+989.3+690</f>
        <v>2924.3</v>
      </c>
      <c r="E280" s="80" t="s">
        <v>896</v>
      </c>
      <c r="F280" s="91">
        <v>2.84</v>
      </c>
      <c r="G280" s="92">
        <f>Plan1!D280*Plan1!F280</f>
        <v>8305.012</v>
      </c>
    </row>
    <row r="281" spans="1:7" ht="25.5" customHeight="1">
      <c r="A281" s="75" t="s">
        <v>230</v>
      </c>
      <c r="B281" s="94" t="s">
        <v>900</v>
      </c>
      <c r="C281" s="83" t="s">
        <v>133</v>
      </c>
      <c r="D281" s="87">
        <f>800+602.4+1400</f>
        <v>2802.4</v>
      </c>
      <c r="E281" s="80" t="s">
        <v>901</v>
      </c>
      <c r="F281" s="91">
        <v>3.09</v>
      </c>
      <c r="G281" s="92">
        <f>Plan1!D281*Plan1!F281</f>
        <v>8659.416</v>
      </c>
    </row>
    <row r="282" spans="1:7" ht="25.5" customHeight="1">
      <c r="A282" s="75" t="s">
        <v>233</v>
      </c>
      <c r="B282" s="94" t="s">
        <v>903</v>
      </c>
      <c r="C282" s="83" t="s">
        <v>133</v>
      </c>
      <c r="D282" s="87">
        <f>800+602.4+1400</f>
        <v>2802.4</v>
      </c>
      <c r="E282" s="80" t="s">
        <v>901</v>
      </c>
      <c r="F282" s="91">
        <v>3.09</v>
      </c>
      <c r="G282" s="92">
        <f>Plan1!D282*Plan1!F282</f>
        <v>8659.416</v>
      </c>
    </row>
    <row r="283" spans="1:7" ht="25.5" customHeight="1">
      <c r="A283" s="75" t="s">
        <v>236</v>
      </c>
      <c r="B283" s="94" t="s">
        <v>905</v>
      </c>
      <c r="C283" s="83" t="s">
        <v>133</v>
      </c>
      <c r="D283" s="87">
        <f>950+963.4+1100</f>
        <v>3013.4</v>
      </c>
      <c r="E283" s="80" t="s">
        <v>901</v>
      </c>
      <c r="F283" s="91">
        <v>3.09</v>
      </c>
      <c r="G283" s="92">
        <f>Plan1!D283*Plan1!F283</f>
        <v>9311.405999999999</v>
      </c>
    </row>
    <row r="284" spans="1:7" ht="25.5" customHeight="1">
      <c r="A284" s="75" t="s">
        <v>239</v>
      </c>
      <c r="B284" s="94" t="s">
        <v>921</v>
      </c>
      <c r="C284" s="83" t="s">
        <v>133</v>
      </c>
      <c r="D284" s="87">
        <f>600+300+650</f>
        <v>1550</v>
      </c>
      <c r="E284" s="80" t="s">
        <v>922</v>
      </c>
      <c r="F284" s="91">
        <v>7.76</v>
      </c>
      <c r="G284" s="92">
        <f>Plan1!D284*Plan1!F284</f>
        <v>12028</v>
      </c>
    </row>
    <row r="285" spans="1:7" ht="25.5" customHeight="1">
      <c r="A285" s="75" t="s">
        <v>242</v>
      </c>
      <c r="B285" s="94" t="s">
        <v>924</v>
      </c>
      <c r="C285" s="83" t="s">
        <v>133</v>
      </c>
      <c r="D285" s="87">
        <f>400+100+120</f>
        <v>620</v>
      </c>
      <c r="E285" s="80" t="s">
        <v>922</v>
      </c>
      <c r="F285" s="91">
        <v>7.76</v>
      </c>
      <c r="G285" s="92">
        <f>Plan1!D285*Plan1!F285</f>
        <v>4811.2</v>
      </c>
    </row>
    <row r="286" spans="1:7" ht="25.5" customHeight="1">
      <c r="A286" s="75" t="s">
        <v>245</v>
      </c>
      <c r="B286" s="94" t="s">
        <v>926</v>
      </c>
      <c r="C286" s="83" t="s">
        <v>133</v>
      </c>
      <c r="D286" s="87">
        <f>400+100+130</f>
        <v>630</v>
      </c>
      <c r="E286" s="80" t="s">
        <v>922</v>
      </c>
      <c r="F286" s="91">
        <v>7.76</v>
      </c>
      <c r="G286" s="92">
        <f>Plan1!D286*Plan1!F286</f>
        <v>4888.8</v>
      </c>
    </row>
    <row r="287" spans="1:7" ht="25.5" customHeight="1">
      <c r="A287" s="75" t="s">
        <v>248</v>
      </c>
      <c r="B287" s="94" t="s">
        <v>935</v>
      </c>
      <c r="C287" s="83" t="s">
        <v>739</v>
      </c>
      <c r="D287" s="87">
        <f>127+99+15</f>
        <v>241</v>
      </c>
      <c r="E287" s="83" t="s">
        <v>391</v>
      </c>
      <c r="F287" s="91">
        <v>8.05</v>
      </c>
      <c r="G287" s="92">
        <f>Plan1!D287*Plan1!F287</f>
        <v>1940.0500000000002</v>
      </c>
    </row>
    <row r="288" spans="1:7" ht="25.5" customHeight="1">
      <c r="A288" s="75" t="s">
        <v>251</v>
      </c>
      <c r="B288" s="94" t="s">
        <v>937</v>
      </c>
      <c r="C288" s="83" t="s">
        <v>739</v>
      </c>
      <c r="D288" s="87">
        <f>59+61</f>
        <v>120</v>
      </c>
      <c r="E288" s="83" t="s">
        <v>938</v>
      </c>
      <c r="F288" s="91">
        <v>5.93</v>
      </c>
      <c r="G288" s="92">
        <f>Plan1!D288*Plan1!F288</f>
        <v>711.5999999999999</v>
      </c>
    </row>
    <row r="289" spans="1:7" ht="25.5" customHeight="1">
      <c r="A289" s="75" t="s">
        <v>254</v>
      </c>
      <c r="B289" s="94" t="s">
        <v>1225</v>
      </c>
      <c r="C289" s="83" t="s">
        <v>739</v>
      </c>
      <c r="D289" s="87">
        <f>68+38</f>
        <v>106</v>
      </c>
      <c r="E289" s="80" t="s">
        <v>941</v>
      </c>
      <c r="F289" s="91">
        <v>5.93</v>
      </c>
      <c r="G289" s="92">
        <f>Plan1!D289*Plan1!F289</f>
        <v>628.5799999999999</v>
      </c>
    </row>
    <row r="290" spans="1:7" ht="15" customHeight="1">
      <c r="A290" s="75" t="s">
        <v>257</v>
      </c>
      <c r="B290" s="94" t="s">
        <v>943</v>
      </c>
      <c r="C290" s="83" t="s">
        <v>739</v>
      </c>
      <c r="D290" s="87">
        <f>25+15+10</f>
        <v>50</v>
      </c>
      <c r="E290" s="80" t="s">
        <v>944</v>
      </c>
      <c r="F290" s="91">
        <v>27.3</v>
      </c>
      <c r="G290" s="92">
        <f>Plan1!D290*Plan1!F290</f>
        <v>1365</v>
      </c>
    </row>
    <row r="291" spans="1:7" ht="15" customHeight="1">
      <c r="A291" s="75" t="s">
        <v>260</v>
      </c>
      <c r="B291" s="94" t="s">
        <v>946</v>
      </c>
      <c r="C291" s="83" t="s">
        <v>739</v>
      </c>
      <c r="D291" s="87">
        <f>20+30+20</f>
        <v>70</v>
      </c>
      <c r="E291" s="80" t="s">
        <v>947</v>
      </c>
      <c r="F291" s="91">
        <v>37.15</v>
      </c>
      <c r="G291" s="92">
        <f>Plan1!D291*Plan1!F291</f>
        <v>2600.5</v>
      </c>
    </row>
    <row r="292" spans="1:7" ht="15" customHeight="1">
      <c r="A292" s="75" t="s">
        <v>263</v>
      </c>
      <c r="B292" s="94" t="s">
        <v>1226</v>
      </c>
      <c r="C292" s="83" t="s">
        <v>739</v>
      </c>
      <c r="D292" s="87">
        <v>7</v>
      </c>
      <c r="E292" s="80" t="s">
        <v>1227</v>
      </c>
      <c r="F292" s="91">
        <v>38.74</v>
      </c>
      <c r="G292" s="92">
        <f>Plan1!D292*Plan1!F292</f>
        <v>271.18</v>
      </c>
    </row>
    <row r="293" spans="1:7" ht="25.5" customHeight="1">
      <c r="A293" s="75" t="s">
        <v>266</v>
      </c>
      <c r="B293" s="94" t="s">
        <v>949</v>
      </c>
      <c r="C293" s="83" t="s">
        <v>739</v>
      </c>
      <c r="D293" s="87">
        <f>34+54+23+800</f>
        <v>911</v>
      </c>
      <c r="E293" s="80" t="s">
        <v>749</v>
      </c>
      <c r="F293" s="91">
        <v>18.08</v>
      </c>
      <c r="G293" s="92">
        <f>Plan1!D293*Plan1!F293</f>
        <v>16470.879999999997</v>
      </c>
    </row>
    <row r="294" spans="1:7" ht="15" customHeight="1">
      <c r="A294" s="75" t="s">
        <v>269</v>
      </c>
      <c r="B294" s="94" t="s">
        <v>1228</v>
      </c>
      <c r="C294" s="83" t="s">
        <v>739</v>
      </c>
      <c r="D294" s="87">
        <f>48+10</f>
        <v>58</v>
      </c>
      <c r="E294" s="80" t="s">
        <v>749</v>
      </c>
      <c r="F294" s="91">
        <v>18.08</v>
      </c>
      <c r="G294" s="92">
        <f>Plan1!D294*Plan1!F294</f>
        <v>1048.6399999999999</v>
      </c>
    </row>
    <row r="295" spans="1:7" ht="25.5" customHeight="1">
      <c r="A295" s="75" t="s">
        <v>272</v>
      </c>
      <c r="B295" s="94" t="s">
        <v>1150</v>
      </c>
      <c r="C295" s="83" t="s">
        <v>739</v>
      </c>
      <c r="D295" s="87">
        <f>96+221+180</f>
        <v>497</v>
      </c>
      <c r="E295" s="80" t="s">
        <v>952</v>
      </c>
      <c r="F295" s="91">
        <v>104.99</v>
      </c>
      <c r="G295" s="92">
        <f>Plan1!D295*Plan1!F295</f>
        <v>52180.03</v>
      </c>
    </row>
    <row r="296" spans="1:7" ht="25.5" customHeight="1">
      <c r="A296" s="75" t="s">
        <v>275</v>
      </c>
      <c r="B296" s="94" t="s">
        <v>1151</v>
      </c>
      <c r="C296" s="83" t="s">
        <v>739</v>
      </c>
      <c r="D296" s="87">
        <f>20+20</f>
        <v>40</v>
      </c>
      <c r="E296" s="80" t="s">
        <v>955</v>
      </c>
      <c r="F296" s="91">
        <v>114.99</v>
      </c>
      <c r="G296" s="92">
        <f>Plan1!D296*Plan1!F296</f>
        <v>4599.599999999999</v>
      </c>
    </row>
    <row r="297" spans="1:7" ht="38.25" customHeight="1">
      <c r="A297" s="75" t="s">
        <v>278</v>
      </c>
      <c r="B297" s="94" t="s">
        <v>957</v>
      </c>
      <c r="C297" s="83" t="s">
        <v>739</v>
      </c>
      <c r="D297" s="87">
        <f>17+14</f>
        <v>31</v>
      </c>
      <c r="E297" s="80" t="s">
        <v>958</v>
      </c>
      <c r="F297" s="91">
        <v>39.99</v>
      </c>
      <c r="G297" s="92">
        <f>Plan1!D297*Plan1!F297</f>
        <v>1239.69</v>
      </c>
    </row>
    <row r="298" spans="1:7" ht="15" customHeight="1">
      <c r="A298" s="75" t="s">
        <v>281</v>
      </c>
      <c r="B298" s="94" t="s">
        <v>1229</v>
      </c>
      <c r="C298" s="83" t="s">
        <v>739</v>
      </c>
      <c r="D298" s="87">
        <f>84+77+70</f>
        <v>231</v>
      </c>
      <c r="E298" s="80" t="s">
        <v>961</v>
      </c>
      <c r="F298" s="91">
        <v>69.99</v>
      </c>
      <c r="G298" s="92">
        <f>Plan1!D298*Plan1!F298</f>
        <v>16167.689999999999</v>
      </c>
    </row>
    <row r="299" spans="1:7" ht="25.5" customHeight="1">
      <c r="A299" s="75" t="s">
        <v>284</v>
      </c>
      <c r="B299" s="94" t="s">
        <v>963</v>
      </c>
      <c r="C299" s="83" t="s">
        <v>739</v>
      </c>
      <c r="D299" s="87">
        <v>537</v>
      </c>
      <c r="E299" s="80" t="s">
        <v>964</v>
      </c>
      <c r="F299" s="91">
        <v>81.99</v>
      </c>
      <c r="G299" s="92">
        <f>Plan1!D299*Plan1!F299</f>
        <v>44028.63</v>
      </c>
    </row>
    <row r="300" spans="1:7" ht="25.5" customHeight="1">
      <c r="A300" s="75" t="s">
        <v>287</v>
      </c>
      <c r="B300" s="94" t="s">
        <v>966</v>
      </c>
      <c r="C300" s="83" t="s">
        <v>739</v>
      </c>
      <c r="D300" s="87">
        <v>231</v>
      </c>
      <c r="E300" s="80" t="s">
        <v>967</v>
      </c>
      <c r="F300" s="91">
        <v>44.99</v>
      </c>
      <c r="G300" s="92">
        <f>Plan1!D300*Plan1!F300</f>
        <v>10392.69</v>
      </c>
    </row>
    <row r="301" spans="1:7" ht="15" customHeight="1">
      <c r="A301" s="75" t="s">
        <v>290</v>
      </c>
      <c r="B301" s="94" t="s">
        <v>969</v>
      </c>
      <c r="C301" s="83" t="s">
        <v>739</v>
      </c>
      <c r="D301" s="87">
        <f>1536+231</f>
        <v>1767</v>
      </c>
      <c r="E301" s="80" t="s">
        <v>970</v>
      </c>
      <c r="F301" s="91">
        <v>7.49</v>
      </c>
      <c r="G301" s="92">
        <f>Plan1!D301*Plan1!F301</f>
        <v>13234.83</v>
      </c>
    </row>
    <row r="302" spans="1:7" ht="15" customHeight="1">
      <c r="A302" s="75" t="s">
        <v>291</v>
      </c>
      <c r="B302" s="94" t="s">
        <v>972</v>
      </c>
      <c r="C302" s="83" t="s">
        <v>739</v>
      </c>
      <c r="D302" s="87">
        <f>314+519+460</f>
        <v>1293</v>
      </c>
      <c r="E302" s="80" t="s">
        <v>973</v>
      </c>
      <c r="F302" s="91">
        <v>14.99</v>
      </c>
      <c r="G302" s="92">
        <f>Plan1!D302*Plan1!F302</f>
        <v>19382.07</v>
      </c>
    </row>
    <row r="303" spans="1:7" ht="15" customHeight="1">
      <c r="A303" s="75" t="s">
        <v>294</v>
      </c>
      <c r="B303" s="94" t="s">
        <v>975</v>
      </c>
      <c r="C303" s="83" t="s">
        <v>739</v>
      </c>
      <c r="D303" s="87">
        <f>34+28</f>
        <v>62</v>
      </c>
      <c r="E303" s="80" t="s">
        <v>976</v>
      </c>
      <c r="F303" s="91">
        <v>17.99</v>
      </c>
      <c r="G303" s="92">
        <f>Plan1!D303*Plan1!F303</f>
        <v>1115.3799999999999</v>
      </c>
    </row>
    <row r="304" spans="1:7" ht="15" customHeight="1">
      <c r="A304" s="75" t="s">
        <v>295</v>
      </c>
      <c r="B304" s="94" t="s">
        <v>880</v>
      </c>
      <c r="C304" s="83" t="s">
        <v>739</v>
      </c>
      <c r="D304" s="87">
        <f>240+112+50</f>
        <v>402</v>
      </c>
      <c r="E304" s="80" t="s">
        <v>881</v>
      </c>
      <c r="F304" s="91">
        <v>1.56</v>
      </c>
      <c r="G304" s="92">
        <f>Plan1!D304*Plan1!F304</f>
        <v>627.12</v>
      </c>
    </row>
    <row r="305" spans="1:7" ht="15" customHeight="1">
      <c r="A305" s="75" t="s">
        <v>297</v>
      </c>
      <c r="B305" s="94" t="s">
        <v>1230</v>
      </c>
      <c r="C305" s="83" t="s">
        <v>739</v>
      </c>
      <c r="D305" s="87">
        <f>173+107</f>
        <v>280</v>
      </c>
      <c r="E305" s="83" t="s">
        <v>878</v>
      </c>
      <c r="F305" s="81">
        <v>2.13</v>
      </c>
      <c r="G305" s="92">
        <f>Plan1!D305*Plan1!F305</f>
        <v>596.4</v>
      </c>
    </row>
    <row r="306" spans="1:7" ht="15" customHeight="1">
      <c r="A306" s="75" t="s">
        <v>300</v>
      </c>
      <c r="B306" s="94" t="s">
        <v>980</v>
      </c>
      <c r="C306" s="83" t="s">
        <v>739</v>
      </c>
      <c r="D306" s="87">
        <v>67</v>
      </c>
      <c r="E306" s="83" t="s">
        <v>875</v>
      </c>
      <c r="F306" s="91">
        <v>2.84</v>
      </c>
      <c r="G306" s="92">
        <f>Plan1!D306*Plan1!F306</f>
        <v>190.28</v>
      </c>
    </row>
    <row r="307" spans="1:7" ht="15" customHeight="1">
      <c r="A307" s="75" t="s">
        <v>303</v>
      </c>
      <c r="B307" s="94" t="s">
        <v>982</v>
      </c>
      <c r="C307" s="83" t="s">
        <v>739</v>
      </c>
      <c r="D307" s="87">
        <f>76+45</f>
        <v>121</v>
      </c>
      <c r="E307" s="83" t="s">
        <v>179</v>
      </c>
      <c r="F307" s="91">
        <v>5.21</v>
      </c>
      <c r="G307" s="92">
        <f>Plan1!D307*Plan1!F307</f>
        <v>630.41</v>
      </c>
    </row>
    <row r="308" spans="1:7" ht="15" customHeight="1">
      <c r="A308" s="75" t="s">
        <v>306</v>
      </c>
      <c r="B308" s="94" t="s">
        <v>1058</v>
      </c>
      <c r="C308" s="83" t="s">
        <v>739</v>
      </c>
      <c r="D308" s="87">
        <v>800</v>
      </c>
      <c r="E308" s="83" t="s">
        <v>985</v>
      </c>
      <c r="F308" s="91">
        <v>5.56</v>
      </c>
      <c r="G308" s="92">
        <f>Plan1!D308*Plan1!F308</f>
        <v>4448</v>
      </c>
    </row>
    <row r="309" spans="1:7" ht="25.5" customHeight="1">
      <c r="A309" s="75" t="s">
        <v>309</v>
      </c>
      <c r="B309" s="94" t="s">
        <v>987</v>
      </c>
      <c r="C309" s="83" t="s">
        <v>739</v>
      </c>
      <c r="D309" s="87">
        <v>9</v>
      </c>
      <c r="E309" s="80" t="s">
        <v>800</v>
      </c>
      <c r="F309" s="91">
        <v>142.52</v>
      </c>
      <c r="G309" s="92">
        <f>Plan1!D309*Plan1!F309</f>
        <v>1282.68</v>
      </c>
    </row>
    <row r="310" spans="1:7" ht="38.25" customHeight="1">
      <c r="A310" s="75" t="s">
        <v>312</v>
      </c>
      <c r="B310" s="104" t="s">
        <v>1231</v>
      </c>
      <c r="C310" s="83" t="s">
        <v>739</v>
      </c>
      <c r="D310" s="87">
        <v>2</v>
      </c>
      <c r="E310" s="80" t="s">
        <v>1232</v>
      </c>
      <c r="F310" s="91">
        <v>809.18</v>
      </c>
      <c r="G310" s="92">
        <f>Plan1!D310*Plan1!F310</f>
        <v>1618.36</v>
      </c>
    </row>
    <row r="311" spans="1:7" ht="15" customHeight="1">
      <c r="A311" s="75" t="s">
        <v>316</v>
      </c>
      <c r="B311" s="94" t="s">
        <v>1233</v>
      </c>
      <c r="C311" s="83" t="s">
        <v>95</v>
      </c>
      <c r="D311" s="87">
        <v>250</v>
      </c>
      <c r="E311" s="80" t="s">
        <v>1234</v>
      </c>
      <c r="F311" s="91">
        <v>40.17</v>
      </c>
      <c r="G311" s="92">
        <f>Plan1!D311*Plan1!F311</f>
        <v>10042.5</v>
      </c>
    </row>
    <row r="312" spans="1:7" ht="15" customHeight="1">
      <c r="A312" s="75" t="s">
        <v>319</v>
      </c>
      <c r="B312" s="94" t="s">
        <v>1235</v>
      </c>
      <c r="C312" s="83" t="s">
        <v>133</v>
      </c>
      <c r="D312" s="87">
        <v>100</v>
      </c>
      <c r="E312" s="80" t="s">
        <v>1236</v>
      </c>
      <c r="F312" s="91">
        <v>28.39</v>
      </c>
      <c r="G312" s="92">
        <f>Plan1!D312*Plan1!F312</f>
        <v>2839</v>
      </c>
    </row>
    <row r="313" spans="1:7" ht="15" customHeight="1">
      <c r="A313" s="75" t="s">
        <v>324</v>
      </c>
      <c r="B313" s="94" t="s">
        <v>989</v>
      </c>
      <c r="C313" s="83" t="s">
        <v>739</v>
      </c>
      <c r="D313" s="87">
        <v>15</v>
      </c>
      <c r="E313" s="80" t="s">
        <v>990</v>
      </c>
      <c r="F313" s="91">
        <v>8.14</v>
      </c>
      <c r="G313" s="92">
        <f>Plan1!D313*Plan1!F313</f>
        <v>122.10000000000001</v>
      </c>
    </row>
    <row r="314" spans="1:7" ht="15" customHeight="1">
      <c r="A314" s="75" t="s">
        <v>1237</v>
      </c>
      <c r="B314" s="94" t="s">
        <v>1218</v>
      </c>
      <c r="C314" s="83" t="s">
        <v>739</v>
      </c>
      <c r="D314" s="87">
        <v>5</v>
      </c>
      <c r="E314" s="80" t="s">
        <v>1238</v>
      </c>
      <c r="F314" s="91">
        <v>130.14</v>
      </c>
      <c r="G314" s="92">
        <f>Plan1!D314*Plan1!F314</f>
        <v>650.6999999999999</v>
      </c>
    </row>
    <row r="315" spans="1:7" ht="15" customHeight="1">
      <c r="A315" s="75" t="s">
        <v>1239</v>
      </c>
      <c r="B315" s="94" t="s">
        <v>995</v>
      </c>
      <c r="C315" s="83" t="s">
        <v>739</v>
      </c>
      <c r="D315" s="87">
        <v>28</v>
      </c>
      <c r="E315" s="80" t="s">
        <v>209</v>
      </c>
      <c r="F315" s="91">
        <v>10.73</v>
      </c>
      <c r="G315" s="92">
        <f>Plan1!D315*Plan1!F315</f>
        <v>300.44</v>
      </c>
    </row>
    <row r="316" spans="1:7" ht="15" customHeight="1">
      <c r="A316" s="75" t="s">
        <v>1240</v>
      </c>
      <c r="B316" s="94" t="s">
        <v>1025</v>
      </c>
      <c r="C316" s="83" t="s">
        <v>739</v>
      </c>
      <c r="D316" s="87">
        <v>12</v>
      </c>
      <c r="E316" s="80" t="s">
        <v>806</v>
      </c>
      <c r="F316" s="91">
        <v>87.07</v>
      </c>
      <c r="G316" s="92">
        <f>Plan1!D316*Plan1!F316</f>
        <v>1044.84</v>
      </c>
    </row>
    <row r="317" spans="1:7" ht="15" customHeight="1">
      <c r="A317" s="75" t="s">
        <v>1241</v>
      </c>
      <c r="B317" s="105" t="s">
        <v>1242</v>
      </c>
      <c r="C317" s="106" t="s">
        <v>739</v>
      </c>
      <c r="D317" s="107">
        <f>107+105+120+18</f>
        <v>350</v>
      </c>
      <c r="E317" s="108" t="s">
        <v>384</v>
      </c>
      <c r="F317" s="109">
        <v>100.83</v>
      </c>
      <c r="G317" s="110">
        <f>Plan1!D317*Plan1!F317</f>
        <v>35290.5</v>
      </c>
    </row>
    <row r="318" spans="1:7" ht="15" customHeight="1">
      <c r="A318" s="75" t="s">
        <v>1243</v>
      </c>
      <c r="B318" s="94" t="s">
        <v>1244</v>
      </c>
      <c r="C318" s="83" t="s">
        <v>739</v>
      </c>
      <c r="D318" s="87">
        <f>97+105+120</f>
        <v>322</v>
      </c>
      <c r="E318" s="80" t="s">
        <v>181</v>
      </c>
      <c r="F318" s="91">
        <v>5.93</v>
      </c>
      <c r="G318" s="92">
        <f>Plan1!D318*Plan1!F318</f>
        <v>1909.4599999999998</v>
      </c>
    </row>
    <row r="319" spans="1:7" ht="15" customHeight="1">
      <c r="A319" s="75" t="s">
        <v>1245</v>
      </c>
      <c r="B319" s="94" t="s">
        <v>1246</v>
      </c>
      <c r="C319" s="83" t="s">
        <v>739</v>
      </c>
      <c r="D319" s="87">
        <f>29+37+30</f>
        <v>96</v>
      </c>
      <c r="E319" s="80" t="s">
        <v>264</v>
      </c>
      <c r="F319" s="91">
        <v>9.33</v>
      </c>
      <c r="G319" s="92">
        <f>Plan1!D319*Plan1!F319</f>
        <v>895.6800000000001</v>
      </c>
    </row>
    <row r="320" spans="1:7" ht="15" customHeight="1">
      <c r="A320" s="75" t="s">
        <v>1247</v>
      </c>
      <c r="B320" s="94" t="s">
        <v>1248</v>
      </c>
      <c r="C320" s="83" t="s">
        <v>739</v>
      </c>
      <c r="D320" s="87">
        <f>39+53+43</f>
        <v>135</v>
      </c>
      <c r="E320" s="80" t="s">
        <v>1053</v>
      </c>
      <c r="F320" s="91">
        <v>7.53</v>
      </c>
      <c r="G320" s="92">
        <f>Plan1!D320*Plan1!F320</f>
        <v>1016.5500000000001</v>
      </c>
    </row>
    <row r="321" spans="1:7" ht="15" customHeight="1">
      <c r="A321" s="75" t="s">
        <v>1249</v>
      </c>
      <c r="B321" s="94" t="s">
        <v>1250</v>
      </c>
      <c r="C321" s="83" t="s">
        <v>739</v>
      </c>
      <c r="D321" s="87">
        <f>1+2+15+22</f>
        <v>40</v>
      </c>
      <c r="E321" s="80" t="s">
        <v>1056</v>
      </c>
      <c r="F321" s="91">
        <v>9.73</v>
      </c>
      <c r="G321" s="92">
        <f>Plan1!D321*Plan1!F321</f>
        <v>389.20000000000005</v>
      </c>
    </row>
    <row r="322" spans="1:7" ht="15" customHeight="1">
      <c r="A322" s="75" t="s">
        <v>1251</v>
      </c>
      <c r="B322" s="94" t="s">
        <v>1058</v>
      </c>
      <c r="C322" s="83" t="s">
        <v>739</v>
      </c>
      <c r="D322" s="87">
        <f>84+321</f>
        <v>405</v>
      </c>
      <c r="E322" s="80" t="s">
        <v>824</v>
      </c>
      <c r="F322" s="91">
        <v>6.43</v>
      </c>
      <c r="G322" s="92">
        <f>Plan1!D322*Plan1!F322</f>
        <v>2604.15</v>
      </c>
    </row>
    <row r="323" spans="1:7" ht="15" customHeight="1">
      <c r="A323" s="75" t="s">
        <v>1252</v>
      </c>
      <c r="B323" s="94" t="s">
        <v>1060</v>
      </c>
      <c r="C323" s="83" t="s">
        <v>739</v>
      </c>
      <c r="D323" s="87">
        <f>66+41+21+32</f>
        <v>160</v>
      </c>
      <c r="E323" s="80" t="s">
        <v>1061</v>
      </c>
      <c r="F323" s="91">
        <v>8.41</v>
      </c>
      <c r="G323" s="92">
        <f>Plan1!D323*Plan1!F323</f>
        <v>1345.6</v>
      </c>
    </row>
    <row r="324" spans="1:7" ht="15" customHeight="1">
      <c r="A324" s="75" t="s">
        <v>1253</v>
      </c>
      <c r="B324" s="94" t="s">
        <v>1066</v>
      </c>
      <c r="C324" s="83" t="s">
        <v>739</v>
      </c>
      <c r="D324" s="87">
        <f>3+18+20+19</f>
        <v>60</v>
      </c>
      <c r="E324" s="80" t="s">
        <v>1067</v>
      </c>
      <c r="F324" s="91">
        <v>13.21</v>
      </c>
      <c r="G324" s="92">
        <f>Plan1!D324*Plan1!F324</f>
        <v>792.6</v>
      </c>
    </row>
    <row r="325" spans="1:7" ht="15" customHeight="1">
      <c r="A325" s="75" t="s">
        <v>1254</v>
      </c>
      <c r="B325" s="94" t="s">
        <v>1072</v>
      </c>
      <c r="C325" s="83" t="s">
        <v>739</v>
      </c>
      <c r="D325" s="87">
        <f>(746+218)+1092+950+190</f>
        <v>3196</v>
      </c>
      <c r="E325" s="80" t="s">
        <v>1073</v>
      </c>
      <c r="F325" s="91">
        <v>0.85</v>
      </c>
      <c r="G325" s="92">
        <f>Plan1!D325*Plan1!F325</f>
        <v>2716.6</v>
      </c>
    </row>
    <row r="326" spans="1:7" ht="15" customHeight="1">
      <c r="A326" s="75" t="s">
        <v>1255</v>
      </c>
      <c r="B326" s="94" t="s">
        <v>1192</v>
      </c>
      <c r="C326" s="83" t="s">
        <v>739</v>
      </c>
      <c r="D326" s="87">
        <v>2000</v>
      </c>
      <c r="E326" s="80" t="s">
        <v>1076</v>
      </c>
      <c r="F326" s="91">
        <v>1.6</v>
      </c>
      <c r="G326" s="92">
        <f>Plan1!D326*Plan1!F326</f>
        <v>3200</v>
      </c>
    </row>
    <row r="327" spans="1:7" ht="15" customHeight="1">
      <c r="A327" s="75" t="s">
        <v>1256</v>
      </c>
      <c r="B327" s="94" t="s">
        <v>1078</v>
      </c>
      <c r="C327" s="83" t="s">
        <v>739</v>
      </c>
      <c r="D327" s="87">
        <v>2100</v>
      </c>
      <c r="E327" s="80" t="s">
        <v>1079</v>
      </c>
      <c r="F327" s="91">
        <v>0.83</v>
      </c>
      <c r="G327" s="92">
        <f>Plan1!D327*Plan1!F327</f>
        <v>1743</v>
      </c>
    </row>
    <row r="328" spans="1:7" ht="15" customHeight="1">
      <c r="A328" s="75" t="s">
        <v>1257</v>
      </c>
      <c r="B328" s="94" t="s">
        <v>1081</v>
      </c>
      <c r="C328" s="83" t="s">
        <v>739</v>
      </c>
      <c r="D328" s="87">
        <v>4100</v>
      </c>
      <c r="E328" s="80" t="s">
        <v>772</v>
      </c>
      <c r="F328" s="91">
        <v>0.81</v>
      </c>
      <c r="G328" s="92">
        <f>Plan1!D328*Plan1!F328</f>
        <v>3321</v>
      </c>
    </row>
    <row r="329" spans="1:7" ht="15" customHeight="1">
      <c r="A329" s="75" t="s">
        <v>1258</v>
      </c>
      <c r="B329" s="94" t="s">
        <v>1083</v>
      </c>
      <c r="C329" s="83" t="s">
        <v>739</v>
      </c>
      <c r="D329" s="87">
        <v>2100</v>
      </c>
      <c r="E329" s="80" t="s">
        <v>1084</v>
      </c>
      <c r="F329" s="91">
        <v>0.75</v>
      </c>
      <c r="G329" s="92">
        <f>Plan1!D329*Plan1!F329</f>
        <v>1575</v>
      </c>
    </row>
    <row r="330" spans="1:7" ht="15" customHeight="1">
      <c r="A330" s="75" t="s">
        <v>1259</v>
      </c>
      <c r="B330" s="94" t="s">
        <v>1086</v>
      </c>
      <c r="C330" s="83" t="s">
        <v>739</v>
      </c>
      <c r="D330" s="87">
        <f>4100+1600</f>
        <v>5700</v>
      </c>
      <c r="E330" s="80" t="s">
        <v>672</v>
      </c>
      <c r="F330" s="91">
        <v>0.74</v>
      </c>
      <c r="G330" s="92">
        <f>Plan1!D330*Plan1!F330</f>
        <v>4218</v>
      </c>
    </row>
    <row r="331" spans="1:7" ht="15" customHeight="1">
      <c r="A331" s="75" t="s">
        <v>1260</v>
      </c>
      <c r="B331" s="94" t="s">
        <v>883</v>
      </c>
      <c r="C331" s="83" t="s">
        <v>739</v>
      </c>
      <c r="D331" s="87">
        <f>400+1600</f>
        <v>2000</v>
      </c>
      <c r="E331" s="80" t="s">
        <v>772</v>
      </c>
      <c r="F331" s="91">
        <v>0.81</v>
      </c>
      <c r="G331" s="92">
        <f>Plan1!D331*Plan1!F331</f>
        <v>1620</v>
      </c>
    </row>
    <row r="332" spans="1:7" ht="15" customHeight="1">
      <c r="A332" s="75" t="s">
        <v>1261</v>
      </c>
      <c r="B332" s="94" t="s">
        <v>1063</v>
      </c>
      <c r="C332" s="83" t="s">
        <v>739</v>
      </c>
      <c r="D332" s="87">
        <f>5+2</f>
        <v>7</v>
      </c>
      <c r="E332" s="80" t="s">
        <v>1064</v>
      </c>
      <c r="F332" s="91">
        <v>4.71</v>
      </c>
      <c r="G332" s="92">
        <f>Plan1!D332*Plan1!F332</f>
        <v>32.97</v>
      </c>
    </row>
    <row r="333" spans="1:7" ht="15" customHeight="1">
      <c r="A333" s="75" t="s">
        <v>1262</v>
      </c>
      <c r="B333" s="94" t="s">
        <v>1263</v>
      </c>
      <c r="C333" s="83" t="s">
        <v>739</v>
      </c>
      <c r="D333" s="87">
        <v>8</v>
      </c>
      <c r="E333" s="80" t="s">
        <v>135</v>
      </c>
      <c r="F333" s="91">
        <v>80.41</v>
      </c>
      <c r="G333" s="92">
        <f>Plan1!D333*Plan1!F333</f>
        <v>643.28</v>
      </c>
    </row>
    <row r="334" spans="1:7" ht="15" customHeight="1">
      <c r="A334" s="75" t="s">
        <v>1264</v>
      </c>
      <c r="B334" s="94" t="s">
        <v>1104</v>
      </c>
      <c r="C334" s="83" t="s">
        <v>739</v>
      </c>
      <c r="D334" s="87">
        <v>80</v>
      </c>
      <c r="E334" s="80" t="s">
        <v>288</v>
      </c>
      <c r="F334" s="91">
        <v>7.28</v>
      </c>
      <c r="G334" s="92">
        <f>Plan1!D334*Plan1!F334</f>
        <v>582.4</v>
      </c>
    </row>
    <row r="335" spans="1:7" ht="25.5" customHeight="1">
      <c r="A335" s="75" t="s">
        <v>1265</v>
      </c>
      <c r="B335" s="94" t="s">
        <v>1266</v>
      </c>
      <c r="C335" s="83" t="s">
        <v>739</v>
      </c>
      <c r="D335" s="87">
        <f>76+81</f>
        <v>157</v>
      </c>
      <c r="E335" s="83" t="s">
        <v>1267</v>
      </c>
      <c r="F335" s="91">
        <v>58.34</v>
      </c>
      <c r="G335" s="92">
        <f>Plan1!D335*Plan1!F335</f>
        <v>9159.380000000001</v>
      </c>
    </row>
    <row r="336" spans="1:7" ht="15" customHeight="1">
      <c r="A336" s="75" t="s">
        <v>1268</v>
      </c>
      <c r="B336" s="94" t="s">
        <v>1202</v>
      </c>
      <c r="C336" s="83" t="s">
        <v>739</v>
      </c>
      <c r="D336" s="87">
        <v>16</v>
      </c>
      <c r="E336" s="80" t="s">
        <v>141</v>
      </c>
      <c r="F336" s="91">
        <v>111.33</v>
      </c>
      <c r="G336" s="92">
        <f>Plan1!D336*Plan1!F336</f>
        <v>1781.28</v>
      </c>
    </row>
    <row r="337" spans="1:7" ht="15" customHeight="1">
      <c r="A337" s="75" t="s">
        <v>1269</v>
      </c>
      <c r="B337" s="94" t="s">
        <v>736</v>
      </c>
      <c r="C337" s="83" t="s">
        <v>739</v>
      </c>
      <c r="D337" s="87">
        <f>82+81+163</f>
        <v>326</v>
      </c>
      <c r="E337" s="80" t="s">
        <v>347</v>
      </c>
      <c r="F337" s="91">
        <v>36.43</v>
      </c>
      <c r="G337" s="92">
        <f>Plan1!D337*Plan1!F337</f>
        <v>11876.18</v>
      </c>
    </row>
    <row r="338" spans="1:7" ht="15" customHeight="1">
      <c r="A338" s="75" t="s">
        <v>1270</v>
      </c>
      <c r="B338" s="94" t="s">
        <v>1271</v>
      </c>
      <c r="C338" s="83" t="s">
        <v>739</v>
      </c>
      <c r="D338" s="87">
        <v>82</v>
      </c>
      <c r="E338" s="83" t="s">
        <v>1272</v>
      </c>
      <c r="F338" s="81">
        <v>8.66</v>
      </c>
      <c r="G338" s="92">
        <f>Plan1!D338*Plan1!F338</f>
        <v>710.12</v>
      </c>
    </row>
    <row r="339" spans="1:7" ht="15" customHeight="1">
      <c r="A339" s="75" t="s">
        <v>1273</v>
      </c>
      <c r="B339" s="94" t="s">
        <v>777</v>
      </c>
      <c r="C339" s="83" t="s">
        <v>739</v>
      </c>
      <c r="D339" s="87">
        <f>109+95</f>
        <v>204</v>
      </c>
      <c r="E339" s="80" t="s">
        <v>382</v>
      </c>
      <c r="F339" s="91">
        <v>14.26</v>
      </c>
      <c r="G339" s="92">
        <f>Plan1!D339*Plan1!F339</f>
        <v>2909.04</v>
      </c>
    </row>
    <row r="340" spans="1:7" ht="25.5" customHeight="1">
      <c r="A340" s="75" t="s">
        <v>1274</v>
      </c>
      <c r="B340" s="94" t="s">
        <v>1275</v>
      </c>
      <c r="C340" s="83" t="s">
        <v>739</v>
      </c>
      <c r="D340" s="87">
        <v>400</v>
      </c>
      <c r="E340" s="80" t="s">
        <v>1276</v>
      </c>
      <c r="F340" s="91">
        <v>0.91</v>
      </c>
      <c r="G340" s="92">
        <f>Plan1!D340*Plan1!F340</f>
        <v>364</v>
      </c>
    </row>
    <row r="341" spans="1:7" ht="15" customHeight="1">
      <c r="A341" s="75" t="s">
        <v>1277</v>
      </c>
      <c r="B341" s="94" t="s">
        <v>1114</v>
      </c>
      <c r="C341" s="83" t="s">
        <v>739</v>
      </c>
      <c r="D341" s="87">
        <f>242+17+9</f>
        <v>268</v>
      </c>
      <c r="E341" s="83" t="s">
        <v>875</v>
      </c>
      <c r="F341" s="91">
        <v>2.84</v>
      </c>
      <c r="G341" s="92">
        <f>Plan1!D341*Plan1!F341</f>
        <v>761.12</v>
      </c>
    </row>
    <row r="342" spans="1:7" ht="25.5" customHeight="1">
      <c r="A342" s="75" t="s">
        <v>1278</v>
      </c>
      <c r="B342" s="94" t="s">
        <v>1279</v>
      </c>
      <c r="C342" s="83" t="s">
        <v>739</v>
      </c>
      <c r="D342" s="80">
        <v>25</v>
      </c>
      <c r="E342" s="83" t="s">
        <v>1280</v>
      </c>
      <c r="F342" s="81">
        <v>6.13</v>
      </c>
      <c r="G342" s="92">
        <f>Plan1!D342*Plan1!F342</f>
        <v>153.25</v>
      </c>
    </row>
    <row r="343" spans="1:7" ht="15" customHeight="1">
      <c r="A343" s="75" t="s">
        <v>1281</v>
      </c>
      <c r="B343" s="79" t="s">
        <v>1156</v>
      </c>
      <c r="C343" s="83" t="s">
        <v>739</v>
      </c>
      <c r="D343" s="80">
        <v>25</v>
      </c>
      <c r="E343" s="83" t="s">
        <v>878</v>
      </c>
      <c r="F343" s="81">
        <v>2.13</v>
      </c>
      <c r="G343" s="82">
        <f>Plan1!D343*Plan1!F343</f>
        <v>53.25</v>
      </c>
    </row>
    <row r="344" spans="1:7" ht="15" customHeight="1">
      <c r="A344" s="75" t="s">
        <v>1282</v>
      </c>
      <c r="B344" s="94" t="s">
        <v>848</v>
      </c>
      <c r="C344" s="83" t="s">
        <v>739</v>
      </c>
      <c r="D344" s="87">
        <v>400</v>
      </c>
      <c r="E344" s="83" t="s">
        <v>849</v>
      </c>
      <c r="F344" s="91">
        <v>5.31</v>
      </c>
      <c r="G344" s="92">
        <f>Plan1!D344*Plan1!F344</f>
        <v>2124</v>
      </c>
    </row>
    <row r="345" spans="1:7" ht="15" customHeight="1">
      <c r="A345" s="75" t="s">
        <v>1283</v>
      </c>
      <c r="B345" s="79" t="s">
        <v>851</v>
      </c>
      <c r="C345" s="83" t="s">
        <v>739</v>
      </c>
      <c r="D345" s="80">
        <v>800</v>
      </c>
      <c r="E345" s="80" t="s">
        <v>852</v>
      </c>
      <c r="F345" s="91">
        <v>4.48</v>
      </c>
      <c r="G345" s="92">
        <f>Plan1!F345*Plan1!D345</f>
        <v>3584.0000000000005</v>
      </c>
    </row>
    <row r="346" spans="1:7" ht="25.5" customHeight="1">
      <c r="A346" s="75" t="s">
        <v>1284</v>
      </c>
      <c r="B346" s="94" t="s">
        <v>860</v>
      </c>
      <c r="C346" s="80" t="s">
        <v>739</v>
      </c>
      <c r="D346" s="83">
        <v>6</v>
      </c>
      <c r="E346" s="83" t="s">
        <v>861</v>
      </c>
      <c r="F346" s="91">
        <v>258.52</v>
      </c>
      <c r="G346" s="92">
        <f>Plan1!F346*Plan1!D346</f>
        <v>1551.12</v>
      </c>
    </row>
    <row r="347" spans="1:7" ht="38.25" customHeight="1">
      <c r="A347" s="75" t="s">
        <v>1285</v>
      </c>
      <c r="B347" s="94" t="s">
        <v>863</v>
      </c>
      <c r="C347" s="80" t="s">
        <v>739</v>
      </c>
      <c r="D347" s="83">
        <v>6</v>
      </c>
      <c r="E347" s="80" t="s">
        <v>864</v>
      </c>
      <c r="F347" s="91">
        <v>103.52</v>
      </c>
      <c r="G347" s="92">
        <f>Plan1!F347*Plan1!D347</f>
        <v>621.12</v>
      </c>
    </row>
    <row r="348" spans="1:7" ht="15" customHeight="1">
      <c r="A348" s="75" t="s">
        <v>1286</v>
      </c>
      <c r="B348" s="90" t="s">
        <v>869</v>
      </c>
      <c r="C348" s="80" t="s">
        <v>739</v>
      </c>
      <c r="D348" s="83">
        <v>6</v>
      </c>
      <c r="E348" s="83" t="s">
        <v>870</v>
      </c>
      <c r="F348" s="91">
        <v>31.43</v>
      </c>
      <c r="G348" s="92">
        <f>Plan1!F348*Plan1!D348</f>
        <v>188.57999999999998</v>
      </c>
    </row>
    <row r="349" spans="1:7" ht="15" customHeight="1">
      <c r="A349" s="75" t="s">
        <v>1287</v>
      </c>
      <c r="B349" s="94" t="s">
        <v>1288</v>
      </c>
      <c r="C349" s="83" t="s">
        <v>739</v>
      </c>
      <c r="D349" s="80">
        <v>800</v>
      </c>
      <c r="E349" s="80" t="s">
        <v>888</v>
      </c>
      <c r="F349" s="91">
        <v>4.31</v>
      </c>
      <c r="G349" s="92"/>
    </row>
    <row r="350" spans="1:7" ht="15" customHeight="1">
      <c r="A350" s="75" t="s">
        <v>1289</v>
      </c>
      <c r="B350" s="90" t="s">
        <v>872</v>
      </c>
      <c r="C350" s="80" t="s">
        <v>739</v>
      </c>
      <c r="D350" s="83">
        <v>6</v>
      </c>
      <c r="E350" s="80" t="s">
        <v>701</v>
      </c>
      <c r="F350" s="91">
        <v>56.15</v>
      </c>
      <c r="G350" s="92">
        <f>Plan1!F350*Plan1!D350</f>
        <v>336.9</v>
      </c>
    </row>
    <row r="351" spans="1:7" ht="15" customHeight="1">
      <c r="A351" s="75" t="s">
        <v>1290</v>
      </c>
      <c r="B351" s="97" t="s">
        <v>1222</v>
      </c>
      <c r="C351" s="80" t="s">
        <v>133</v>
      </c>
      <c r="D351" s="83">
        <v>900</v>
      </c>
      <c r="E351" s="80" t="s">
        <v>1130</v>
      </c>
      <c r="F351" s="91">
        <v>3.86</v>
      </c>
      <c r="G351" s="92">
        <f>Plan1!D351*Plan1!F351</f>
        <v>3474</v>
      </c>
    </row>
    <row r="352" spans="1:7" ht="25.5" customHeight="1">
      <c r="A352" s="75" t="s">
        <v>1291</v>
      </c>
      <c r="B352" s="94" t="s">
        <v>1132</v>
      </c>
      <c r="C352" s="83" t="s">
        <v>739</v>
      </c>
      <c r="D352" s="80">
        <v>800</v>
      </c>
      <c r="E352" s="80" t="s">
        <v>1133</v>
      </c>
      <c r="F352" s="91">
        <v>3.81</v>
      </c>
      <c r="G352" s="92">
        <f>Plan1!D352*Plan1!F352</f>
        <v>3048</v>
      </c>
    </row>
    <row r="353" spans="1:7" ht="15" customHeight="1">
      <c r="A353" s="103"/>
      <c r="B353" s="737" t="s">
        <v>668</v>
      </c>
      <c r="C353" s="737"/>
      <c r="D353" s="737"/>
      <c r="E353" s="737"/>
      <c r="F353" s="737"/>
      <c r="G353" s="95">
        <f>SUM(Plan1!G277:G352)</f>
        <v>393351.62600000005</v>
      </c>
    </row>
    <row r="354" spans="1:7" ht="15" customHeight="1">
      <c r="A354" s="98" t="s">
        <v>325</v>
      </c>
      <c r="B354" s="736" t="s">
        <v>1292</v>
      </c>
      <c r="C354" s="736"/>
      <c r="D354" s="736"/>
      <c r="E354" s="736"/>
      <c r="F354" s="736"/>
      <c r="G354" s="736"/>
    </row>
    <row r="355" spans="1:7" ht="25.5" customHeight="1">
      <c r="A355" s="75" t="s">
        <v>327</v>
      </c>
      <c r="B355" s="94" t="s">
        <v>1293</v>
      </c>
      <c r="C355" s="83" t="s">
        <v>893</v>
      </c>
      <c r="D355" s="111">
        <v>250</v>
      </c>
      <c r="E355" s="83" t="s">
        <v>1294</v>
      </c>
      <c r="F355" s="91">
        <v>52.96</v>
      </c>
      <c r="G355" s="92">
        <f>Plan1!D355*Plan1!F355</f>
        <v>13240</v>
      </c>
    </row>
    <row r="356" spans="1:7" ht="15" customHeight="1">
      <c r="A356" s="75" t="s">
        <v>1295</v>
      </c>
      <c r="B356" s="94" t="s">
        <v>1296</v>
      </c>
      <c r="C356" s="83" t="s">
        <v>133</v>
      </c>
      <c r="D356" s="111">
        <v>150</v>
      </c>
      <c r="E356" s="80" t="s">
        <v>1297</v>
      </c>
      <c r="F356" s="91">
        <v>28.54</v>
      </c>
      <c r="G356" s="92">
        <f>Plan1!D356*Plan1!F356</f>
        <v>4281</v>
      </c>
    </row>
    <row r="357" spans="1:7" ht="15" customHeight="1">
      <c r="A357" s="75" t="s">
        <v>1298</v>
      </c>
      <c r="B357" s="94" t="s">
        <v>1299</v>
      </c>
      <c r="C357" s="83" t="s">
        <v>133</v>
      </c>
      <c r="D357" s="111">
        <v>150</v>
      </c>
      <c r="E357" s="83" t="s">
        <v>1300</v>
      </c>
      <c r="F357" s="91">
        <v>12.98</v>
      </c>
      <c r="G357" s="92">
        <f>Plan1!D357*Plan1!F357</f>
        <v>1947</v>
      </c>
    </row>
    <row r="358" spans="1:7" ht="15" customHeight="1">
      <c r="A358" s="75" t="s">
        <v>1301</v>
      </c>
      <c r="B358" s="94" t="s">
        <v>1302</v>
      </c>
      <c r="C358" s="83" t="s">
        <v>52</v>
      </c>
      <c r="D358" s="111">
        <v>37.5</v>
      </c>
      <c r="E358" s="83" t="s">
        <v>1303</v>
      </c>
      <c r="F358" s="91">
        <v>15.88</v>
      </c>
      <c r="G358" s="92">
        <f>Plan1!D358*Plan1!F358</f>
        <v>595.5</v>
      </c>
    </row>
    <row r="359" spans="1:7" ht="25.5" customHeight="1">
      <c r="A359" s="75" t="s">
        <v>1304</v>
      </c>
      <c r="B359" s="94" t="s">
        <v>1305</v>
      </c>
      <c r="C359" s="83" t="s">
        <v>133</v>
      </c>
      <c r="D359" s="83">
        <v>100</v>
      </c>
      <c r="E359" s="80" t="s">
        <v>1297</v>
      </c>
      <c r="F359" s="91">
        <v>28.54</v>
      </c>
      <c r="G359" s="92">
        <f>Plan1!D359*Plan1!F359</f>
        <v>2854</v>
      </c>
    </row>
    <row r="360" spans="1:7" ht="25.5" customHeight="1">
      <c r="A360" s="75" t="s">
        <v>1306</v>
      </c>
      <c r="B360" s="94" t="s">
        <v>1307</v>
      </c>
      <c r="C360" s="83" t="s">
        <v>133</v>
      </c>
      <c r="D360" s="83">
        <v>300</v>
      </c>
      <c r="E360" s="80" t="s">
        <v>1308</v>
      </c>
      <c r="F360" s="91">
        <v>28.54</v>
      </c>
      <c r="G360" s="92">
        <f>Plan1!D360*Plan1!F360</f>
        <v>8562</v>
      </c>
    </row>
    <row r="361" spans="1:7" ht="25.5" customHeight="1">
      <c r="A361" s="75" t="s">
        <v>1309</v>
      </c>
      <c r="B361" s="94" t="s">
        <v>1310</v>
      </c>
      <c r="C361" s="83" t="s">
        <v>133</v>
      </c>
      <c r="D361" s="83">
        <v>150</v>
      </c>
      <c r="E361" s="80" t="s">
        <v>1311</v>
      </c>
      <c r="F361" s="91">
        <v>25.62</v>
      </c>
      <c r="G361" s="92">
        <f>Plan1!D361*Plan1!F361</f>
        <v>3843</v>
      </c>
    </row>
    <row r="362" spans="1:7" ht="25.5" customHeight="1">
      <c r="A362" s="75" t="s">
        <v>1312</v>
      </c>
      <c r="B362" s="94" t="s">
        <v>1313</v>
      </c>
      <c r="C362" s="83" t="s">
        <v>133</v>
      </c>
      <c r="D362" s="83">
        <v>50</v>
      </c>
      <c r="E362" s="80" t="s">
        <v>1314</v>
      </c>
      <c r="F362" s="91">
        <v>25.62</v>
      </c>
      <c r="G362" s="92">
        <f>Plan1!D362*Plan1!F362</f>
        <v>1281</v>
      </c>
    </row>
    <row r="363" spans="1:7" ht="25.5" customHeight="1">
      <c r="A363" s="75" t="s">
        <v>1315</v>
      </c>
      <c r="B363" s="94" t="s">
        <v>1316</v>
      </c>
      <c r="C363" s="83" t="s">
        <v>133</v>
      </c>
      <c r="D363" s="83">
        <v>2800</v>
      </c>
      <c r="E363" s="80" t="s">
        <v>675</v>
      </c>
      <c r="F363" s="91">
        <v>4</v>
      </c>
      <c r="G363" s="92">
        <f>Plan1!D363*Plan1!F363</f>
        <v>11200</v>
      </c>
    </row>
    <row r="364" spans="1:7" ht="25.5" customHeight="1">
      <c r="A364" s="75" t="s">
        <v>1317</v>
      </c>
      <c r="B364" s="94" t="s">
        <v>1318</v>
      </c>
      <c r="C364" s="83" t="s">
        <v>133</v>
      </c>
      <c r="D364" s="83">
        <v>1300</v>
      </c>
      <c r="E364" s="80" t="s">
        <v>677</v>
      </c>
      <c r="F364" s="91">
        <v>4</v>
      </c>
      <c r="G364" s="92">
        <f>Plan1!D364*Plan1!F364</f>
        <v>5200</v>
      </c>
    </row>
    <row r="365" spans="1:7" ht="25.5" customHeight="1">
      <c r="A365" s="75" t="s">
        <v>1319</v>
      </c>
      <c r="B365" s="94" t="s">
        <v>1320</v>
      </c>
      <c r="C365" s="83" t="s">
        <v>133</v>
      </c>
      <c r="D365" s="83">
        <v>800</v>
      </c>
      <c r="E365" s="80" t="s">
        <v>679</v>
      </c>
      <c r="F365" s="91">
        <v>4</v>
      </c>
      <c r="G365" s="92">
        <f>Plan1!D365*Plan1!F365</f>
        <v>3200</v>
      </c>
    </row>
    <row r="366" spans="1:7" ht="15" customHeight="1">
      <c r="A366" s="75" t="s">
        <v>1321</v>
      </c>
      <c r="B366" s="94" t="s">
        <v>1322</v>
      </c>
      <c r="C366" s="83" t="s">
        <v>474</v>
      </c>
      <c r="D366" s="111">
        <v>32</v>
      </c>
      <c r="E366" s="80" t="s">
        <v>1323</v>
      </c>
      <c r="F366" s="91">
        <v>262</v>
      </c>
      <c r="G366" s="92">
        <f>Plan1!D366*Plan1!F366</f>
        <v>8384</v>
      </c>
    </row>
    <row r="367" spans="1:7" ht="15" customHeight="1">
      <c r="A367" s="75" t="s">
        <v>1324</v>
      </c>
      <c r="B367" s="94" t="s">
        <v>1325</v>
      </c>
      <c r="C367" s="83" t="s">
        <v>474</v>
      </c>
      <c r="D367" s="111">
        <v>32</v>
      </c>
      <c r="E367" s="80" t="s">
        <v>1326</v>
      </c>
      <c r="F367" s="91">
        <v>447.2</v>
      </c>
      <c r="G367" s="92">
        <f>Plan1!D367*Plan1!F367</f>
        <v>14310.4</v>
      </c>
    </row>
    <row r="368" spans="1:7" ht="25.5" customHeight="1">
      <c r="A368" s="75" t="s">
        <v>1327</v>
      </c>
      <c r="B368" s="94" t="s">
        <v>1328</v>
      </c>
      <c r="C368" s="83" t="s">
        <v>474</v>
      </c>
      <c r="D368" s="111">
        <v>32</v>
      </c>
      <c r="E368" s="80" t="s">
        <v>1329</v>
      </c>
      <c r="F368" s="91">
        <v>352.7</v>
      </c>
      <c r="G368" s="92">
        <f>Plan1!D368*Plan1!F368</f>
        <v>11286.4</v>
      </c>
    </row>
    <row r="369" spans="1:7" ht="25.5" customHeight="1">
      <c r="A369" s="75" t="s">
        <v>1330</v>
      </c>
      <c r="B369" s="79" t="s">
        <v>1331</v>
      </c>
      <c r="C369" s="83" t="s">
        <v>474</v>
      </c>
      <c r="D369" s="83">
        <v>2</v>
      </c>
      <c r="E369" s="80" t="s">
        <v>1332</v>
      </c>
      <c r="F369" s="91">
        <v>173.76</v>
      </c>
      <c r="G369" s="92">
        <f>Plan1!D369*Plan1!F369</f>
        <v>347.52</v>
      </c>
    </row>
    <row r="370" spans="1:7" ht="25.5" customHeight="1">
      <c r="A370" s="75" t="s">
        <v>1333</v>
      </c>
      <c r="B370" s="94" t="s">
        <v>1334</v>
      </c>
      <c r="C370" s="83" t="s">
        <v>474</v>
      </c>
      <c r="D370" s="83">
        <v>1</v>
      </c>
      <c r="E370" s="80" t="s">
        <v>1335</v>
      </c>
      <c r="F370" s="91">
        <v>108.76</v>
      </c>
      <c r="G370" s="92">
        <f>Plan1!D370*Plan1!F370</f>
        <v>108.76</v>
      </c>
    </row>
    <row r="371" spans="1:7" ht="25.5" customHeight="1">
      <c r="A371" s="75" t="s">
        <v>1336</v>
      </c>
      <c r="B371" s="94" t="s">
        <v>1337</v>
      </c>
      <c r="C371" s="83" t="s">
        <v>474</v>
      </c>
      <c r="D371" s="83">
        <v>8</v>
      </c>
      <c r="E371" s="80" t="s">
        <v>1338</v>
      </c>
      <c r="F371" s="91">
        <v>58.26</v>
      </c>
      <c r="G371" s="92">
        <f>Plan1!D371*Plan1!F371</f>
        <v>466.08</v>
      </c>
    </row>
    <row r="372" spans="1:7" ht="25.5" customHeight="1">
      <c r="A372" s="75" t="s">
        <v>1339</v>
      </c>
      <c r="B372" s="94" t="s">
        <v>1340</v>
      </c>
      <c r="C372" s="83" t="s">
        <v>474</v>
      </c>
      <c r="D372" s="83">
        <v>8</v>
      </c>
      <c r="E372" s="80" t="s">
        <v>1341</v>
      </c>
      <c r="F372" s="91">
        <v>20.26</v>
      </c>
      <c r="G372" s="92">
        <f>Plan1!D372*Plan1!F372</f>
        <v>162.08</v>
      </c>
    </row>
    <row r="373" spans="1:7" ht="38.25" customHeight="1">
      <c r="A373" s="75" t="s">
        <v>1342</v>
      </c>
      <c r="B373" s="94" t="s">
        <v>1343</v>
      </c>
      <c r="C373" s="83" t="s">
        <v>474</v>
      </c>
      <c r="D373" s="111">
        <v>1</v>
      </c>
      <c r="E373" s="83" t="s">
        <v>1344</v>
      </c>
      <c r="F373" s="91">
        <v>435.66</v>
      </c>
      <c r="G373" s="92">
        <f>Plan1!D373*Plan1!F373</f>
        <v>435.66</v>
      </c>
    </row>
    <row r="374" spans="1:7" ht="15" customHeight="1">
      <c r="A374" s="103"/>
      <c r="B374" s="737" t="s">
        <v>668</v>
      </c>
      <c r="C374" s="737"/>
      <c r="D374" s="737"/>
      <c r="E374" s="737"/>
      <c r="F374" s="737"/>
      <c r="G374" s="95">
        <f>SUM(Plan1!G355:G373)</f>
        <v>91704.4</v>
      </c>
    </row>
    <row r="375" spans="1:7" ht="15" customHeight="1">
      <c r="A375" s="98" t="s">
        <v>333</v>
      </c>
      <c r="B375" s="736" t="s">
        <v>1345</v>
      </c>
      <c r="C375" s="736"/>
      <c r="D375" s="736"/>
      <c r="E375" s="736"/>
      <c r="F375" s="736"/>
      <c r="G375" s="736"/>
    </row>
    <row r="376" spans="1:7" ht="15" customHeight="1">
      <c r="A376" s="75" t="s">
        <v>335</v>
      </c>
      <c r="B376" s="94" t="s">
        <v>1346</v>
      </c>
      <c r="C376" s="83" t="s">
        <v>893</v>
      </c>
      <c r="D376" s="111">
        <v>90</v>
      </c>
      <c r="E376" s="83" t="s">
        <v>1294</v>
      </c>
      <c r="F376" s="91">
        <v>52.96</v>
      </c>
      <c r="G376" s="92">
        <f>Plan1!D376*Plan1!F376</f>
        <v>4766.4</v>
      </c>
    </row>
    <row r="377" spans="1:7" ht="25.5" customHeight="1">
      <c r="A377" s="75" t="s">
        <v>339</v>
      </c>
      <c r="B377" s="94" t="s">
        <v>1316</v>
      </c>
      <c r="C377" s="83" t="s">
        <v>133</v>
      </c>
      <c r="D377" s="111">
        <v>150</v>
      </c>
      <c r="E377" s="80" t="s">
        <v>675</v>
      </c>
      <c r="F377" s="91">
        <v>4</v>
      </c>
      <c r="G377" s="92">
        <f>Plan1!D377*Plan1!F377</f>
        <v>600</v>
      </c>
    </row>
    <row r="378" spans="1:7" ht="25.5" customHeight="1">
      <c r="A378" s="75" t="s">
        <v>1347</v>
      </c>
      <c r="B378" s="94" t="s">
        <v>1318</v>
      </c>
      <c r="C378" s="83" t="s">
        <v>133</v>
      </c>
      <c r="D378" s="111">
        <v>150</v>
      </c>
      <c r="E378" s="80" t="s">
        <v>677</v>
      </c>
      <c r="F378" s="91">
        <v>4</v>
      </c>
      <c r="G378" s="92">
        <f>Plan1!D378*Plan1!F378</f>
        <v>600</v>
      </c>
    </row>
    <row r="379" spans="1:7" ht="25.5" customHeight="1">
      <c r="A379" s="75" t="s">
        <v>1348</v>
      </c>
      <c r="B379" s="94" t="s">
        <v>1320</v>
      </c>
      <c r="C379" s="83" t="s">
        <v>133</v>
      </c>
      <c r="D379" s="111">
        <v>150</v>
      </c>
      <c r="E379" s="80" t="s">
        <v>679</v>
      </c>
      <c r="F379" s="91">
        <v>3.95</v>
      </c>
      <c r="G379" s="92">
        <f>Plan1!D379*Plan1!F379</f>
        <v>592.5</v>
      </c>
    </row>
    <row r="380" spans="1:7" ht="15" customHeight="1">
      <c r="A380" s="75" t="s">
        <v>1349</v>
      </c>
      <c r="B380" s="94" t="s">
        <v>1350</v>
      </c>
      <c r="C380" s="83" t="s">
        <v>26</v>
      </c>
      <c r="D380" s="111">
        <v>10</v>
      </c>
      <c r="E380" s="83" t="s">
        <v>1351</v>
      </c>
      <c r="F380" s="91">
        <v>9.92</v>
      </c>
      <c r="G380" s="92">
        <f>Plan1!D380*Plan1!F380</f>
        <v>99.2</v>
      </c>
    </row>
    <row r="381" spans="1:7" ht="15" customHeight="1">
      <c r="A381" s="75" t="s">
        <v>1352</v>
      </c>
      <c r="B381" s="94" t="s">
        <v>1302</v>
      </c>
      <c r="C381" s="83" t="s">
        <v>52</v>
      </c>
      <c r="D381" s="111">
        <v>4</v>
      </c>
      <c r="E381" s="83" t="s">
        <v>1303</v>
      </c>
      <c r="F381" s="91">
        <v>15.88</v>
      </c>
      <c r="G381" s="92">
        <f>Plan1!D381*Plan1!F381</f>
        <v>63.52</v>
      </c>
    </row>
    <row r="382" spans="1:7" ht="25.5" customHeight="1">
      <c r="A382" s="75" t="s">
        <v>1353</v>
      </c>
      <c r="B382" s="94" t="s">
        <v>1354</v>
      </c>
      <c r="C382" s="83" t="s">
        <v>414</v>
      </c>
      <c r="D382" s="111">
        <v>20</v>
      </c>
      <c r="E382" s="83" t="s">
        <v>1355</v>
      </c>
      <c r="F382" s="91">
        <v>932.7</v>
      </c>
      <c r="G382" s="92">
        <f>Plan1!D382*Plan1!F382</f>
        <v>18654</v>
      </c>
    </row>
    <row r="383" spans="1:7" ht="25.5" customHeight="1">
      <c r="A383" s="75" t="s">
        <v>1356</v>
      </c>
      <c r="B383" s="94" t="s">
        <v>1357</v>
      </c>
      <c r="C383" s="83" t="s">
        <v>414</v>
      </c>
      <c r="D383" s="111">
        <v>7</v>
      </c>
      <c r="E383" s="83" t="s">
        <v>1358</v>
      </c>
      <c r="F383" s="91">
        <v>801.03</v>
      </c>
      <c r="G383" s="92">
        <f>Plan1!D383*Plan1!F383</f>
        <v>5607.21</v>
      </c>
    </row>
    <row r="384" spans="1:7" ht="15" customHeight="1">
      <c r="A384" s="103"/>
      <c r="B384" s="737" t="s">
        <v>668</v>
      </c>
      <c r="C384" s="737"/>
      <c r="D384" s="737"/>
      <c r="E384" s="737"/>
      <c r="F384" s="737"/>
      <c r="G384" s="95">
        <f>SUM(Plan1!G376:G383)</f>
        <v>30982.829999999998</v>
      </c>
    </row>
    <row r="385" spans="1:7" ht="15" customHeight="1">
      <c r="A385" s="98" t="s">
        <v>350</v>
      </c>
      <c r="B385" s="736" t="s">
        <v>1359</v>
      </c>
      <c r="C385" s="736"/>
      <c r="D385" s="736"/>
      <c r="E385" s="736"/>
      <c r="F385" s="736"/>
      <c r="G385" s="736"/>
    </row>
    <row r="386" spans="1:7" ht="25.5" customHeight="1">
      <c r="A386" s="75" t="s">
        <v>352</v>
      </c>
      <c r="B386" s="79" t="s">
        <v>1360</v>
      </c>
      <c r="C386" s="83" t="s">
        <v>133</v>
      </c>
      <c r="D386" s="112">
        <f>261.7+10%*261.7</f>
        <v>287.87</v>
      </c>
      <c r="E386" s="83" t="s">
        <v>1361</v>
      </c>
      <c r="F386" s="91">
        <v>5.26</v>
      </c>
      <c r="G386" s="92">
        <f>Plan1!D386*Plan1!F386</f>
        <v>1514.1961999999999</v>
      </c>
    </row>
    <row r="387" spans="1:7" ht="25.5" customHeight="1">
      <c r="A387" s="75" t="s">
        <v>1362</v>
      </c>
      <c r="B387" s="79" t="s">
        <v>1363</v>
      </c>
      <c r="C387" s="83" t="s">
        <v>133</v>
      </c>
      <c r="D387" s="112">
        <f>527.5+10%*527.5</f>
        <v>580.25</v>
      </c>
      <c r="E387" s="83" t="s">
        <v>1364</v>
      </c>
      <c r="F387" s="91">
        <v>6.78</v>
      </c>
      <c r="G387" s="92">
        <f>Plan1!D387*Plan1!F387</f>
        <v>3934.0950000000003</v>
      </c>
    </row>
    <row r="388" spans="1:7" ht="25.5" customHeight="1">
      <c r="A388" s="75" t="s">
        <v>1365</v>
      </c>
      <c r="B388" s="79" t="s">
        <v>1366</v>
      </c>
      <c r="C388" s="83" t="s">
        <v>133</v>
      </c>
      <c r="D388" s="112">
        <f>119.5+10%*119.5</f>
        <v>131.45</v>
      </c>
      <c r="E388" s="83" t="s">
        <v>1364</v>
      </c>
      <c r="F388" s="91">
        <v>9.12</v>
      </c>
      <c r="G388" s="92">
        <f>Plan1!D388*Plan1!F388</f>
        <v>1198.8239999999998</v>
      </c>
    </row>
    <row r="389" spans="1:7" ht="25.5" customHeight="1">
      <c r="A389" s="75" t="s">
        <v>1367</v>
      </c>
      <c r="B389" s="94" t="s">
        <v>1316</v>
      </c>
      <c r="C389" s="83" t="s">
        <v>133</v>
      </c>
      <c r="D389" s="111">
        <f>5063.6+10%*5063.6</f>
        <v>5569.96</v>
      </c>
      <c r="E389" s="80" t="s">
        <v>675</v>
      </c>
      <c r="F389" s="91">
        <v>4</v>
      </c>
      <c r="G389" s="92">
        <f>Plan1!D389*Plan1!F389</f>
        <v>22279.84</v>
      </c>
    </row>
    <row r="390" spans="1:7" ht="25.5" customHeight="1">
      <c r="A390" s="75" t="s">
        <v>1368</v>
      </c>
      <c r="B390" s="94" t="s">
        <v>1318</v>
      </c>
      <c r="C390" s="83" t="s">
        <v>133</v>
      </c>
      <c r="D390" s="111">
        <f>2302.8+10%*2302.8</f>
        <v>2533.0800000000004</v>
      </c>
      <c r="E390" s="80" t="s">
        <v>677</v>
      </c>
      <c r="F390" s="91">
        <v>4</v>
      </c>
      <c r="G390" s="92">
        <f>Plan1!D390*Plan1!F390</f>
        <v>10132.320000000002</v>
      </c>
    </row>
    <row r="391" spans="1:7" ht="25.5" customHeight="1">
      <c r="A391" s="75" t="s">
        <v>1369</v>
      </c>
      <c r="B391" s="94" t="s">
        <v>1320</v>
      </c>
      <c r="C391" s="83" t="s">
        <v>133</v>
      </c>
      <c r="D391" s="111">
        <f>892.1+10%*892.1</f>
        <v>981.3100000000001</v>
      </c>
      <c r="E391" s="80" t="s">
        <v>1370</v>
      </c>
      <c r="F391" s="91">
        <v>3.95</v>
      </c>
      <c r="G391" s="92">
        <f>Plan1!D391*Plan1!F391</f>
        <v>3876.1745000000005</v>
      </c>
    </row>
    <row r="392" spans="1:7" ht="15" customHeight="1">
      <c r="A392" s="75" t="s">
        <v>1371</v>
      </c>
      <c r="B392" s="739" t="s">
        <v>1372</v>
      </c>
      <c r="C392" s="739"/>
      <c r="D392" s="739"/>
      <c r="E392" s="739"/>
      <c r="F392" s="739"/>
      <c r="G392" s="739"/>
    </row>
    <row r="393" spans="1:7" ht="15" customHeight="1">
      <c r="A393" s="75" t="s">
        <v>1373</v>
      </c>
      <c r="B393" s="94" t="s">
        <v>1374</v>
      </c>
      <c r="C393" s="83" t="s">
        <v>26</v>
      </c>
      <c r="D393" s="111">
        <v>12</v>
      </c>
      <c r="E393" s="83" t="s">
        <v>1375</v>
      </c>
      <c r="F393" s="91">
        <v>27.6</v>
      </c>
      <c r="G393" s="92">
        <f>Plan1!D393*Plan1!F393</f>
        <v>331.20000000000005</v>
      </c>
    </row>
    <row r="394" spans="1:7" ht="15" customHeight="1">
      <c r="A394" s="75" t="s">
        <v>1376</v>
      </c>
      <c r="B394" s="94" t="s">
        <v>1377</v>
      </c>
      <c r="C394" s="83" t="s">
        <v>26</v>
      </c>
      <c r="D394" s="111">
        <v>12</v>
      </c>
      <c r="E394" s="83" t="s">
        <v>1378</v>
      </c>
      <c r="F394" s="91">
        <v>9.68</v>
      </c>
      <c r="G394" s="92">
        <f>Plan1!D394*Plan1!F394</f>
        <v>116.16</v>
      </c>
    </row>
    <row r="395" spans="1:7" ht="15" customHeight="1">
      <c r="A395" s="75" t="s">
        <v>1379</v>
      </c>
      <c r="B395" s="94" t="s">
        <v>1380</v>
      </c>
      <c r="C395" s="83" t="s">
        <v>26</v>
      </c>
      <c r="D395" s="111">
        <v>12</v>
      </c>
      <c r="E395" s="83" t="s">
        <v>1381</v>
      </c>
      <c r="F395" s="91">
        <v>3.3</v>
      </c>
      <c r="G395" s="92">
        <f>Plan1!D395*Plan1!F395</f>
        <v>39.599999999999994</v>
      </c>
    </row>
    <row r="396" spans="1:7" ht="15" customHeight="1">
      <c r="A396" s="75" t="s">
        <v>1382</v>
      </c>
      <c r="B396" s="94" t="s">
        <v>1383</v>
      </c>
      <c r="C396" s="83" t="s">
        <v>414</v>
      </c>
      <c r="D396" s="111">
        <v>10</v>
      </c>
      <c r="E396" s="83">
        <v>6087</v>
      </c>
      <c r="F396" s="91">
        <v>18.56</v>
      </c>
      <c r="G396" s="92">
        <f>Plan1!D396*Plan1!F396</f>
        <v>185.6</v>
      </c>
    </row>
    <row r="397" spans="1:7" ht="15" customHeight="1">
      <c r="A397" s="75" t="s">
        <v>1384</v>
      </c>
      <c r="B397" s="739" t="s">
        <v>1385</v>
      </c>
      <c r="C397" s="739"/>
      <c r="D397" s="739"/>
      <c r="E397" s="739"/>
      <c r="F397" s="739"/>
      <c r="G397" s="739"/>
    </row>
    <row r="398" spans="1:7" ht="15" customHeight="1">
      <c r="A398" s="75" t="s">
        <v>1386</v>
      </c>
      <c r="B398" s="94" t="s">
        <v>1374</v>
      </c>
      <c r="C398" s="83" t="s">
        <v>26</v>
      </c>
      <c r="D398" s="111">
        <v>5.2</v>
      </c>
      <c r="E398" s="83" t="s">
        <v>1387</v>
      </c>
      <c r="F398" s="91">
        <v>27.6</v>
      </c>
      <c r="G398" s="92">
        <f>Plan1!D398*Plan1!F398</f>
        <v>143.52</v>
      </c>
    </row>
    <row r="399" spans="1:7" ht="15" customHeight="1">
      <c r="A399" s="75" t="s">
        <v>1388</v>
      </c>
      <c r="B399" s="94" t="s">
        <v>1377</v>
      </c>
      <c r="C399" s="83" t="s">
        <v>26</v>
      </c>
      <c r="D399" s="111">
        <v>5.2</v>
      </c>
      <c r="E399" s="83" t="s">
        <v>1389</v>
      </c>
      <c r="F399" s="91">
        <v>9.68</v>
      </c>
      <c r="G399" s="92">
        <f>Plan1!D399*Plan1!F399</f>
        <v>50.336</v>
      </c>
    </row>
    <row r="400" spans="1:7" ht="15" customHeight="1">
      <c r="A400" s="75" t="s">
        <v>1390</v>
      </c>
      <c r="B400" s="94" t="s">
        <v>1380</v>
      </c>
      <c r="C400" s="83" t="s">
        <v>26</v>
      </c>
      <c r="D400" s="111">
        <v>5.2</v>
      </c>
      <c r="E400" s="83" t="s">
        <v>1391</v>
      </c>
      <c r="F400" s="91">
        <v>3.3</v>
      </c>
      <c r="G400" s="92">
        <f>Plan1!D400*Plan1!F400</f>
        <v>17.16</v>
      </c>
    </row>
    <row r="401" spans="1:7" ht="15" customHeight="1">
      <c r="A401" s="75" t="s">
        <v>1392</v>
      </c>
      <c r="B401" s="739" t="s">
        <v>1393</v>
      </c>
      <c r="C401" s="739"/>
      <c r="D401" s="739"/>
      <c r="E401" s="739"/>
      <c r="F401" s="739"/>
      <c r="G401" s="739"/>
    </row>
    <row r="402" spans="1:7" ht="15" customHeight="1">
      <c r="A402" s="75" t="s">
        <v>1394</v>
      </c>
      <c r="B402" s="94" t="s">
        <v>1374</v>
      </c>
      <c r="C402" s="83" t="s">
        <v>26</v>
      </c>
      <c r="D402" s="111">
        <v>21.44</v>
      </c>
      <c r="E402" s="83" t="s">
        <v>1387</v>
      </c>
      <c r="F402" s="91">
        <v>27.6</v>
      </c>
      <c r="G402" s="92">
        <f>Plan1!D402*Plan1!F402</f>
        <v>591.744</v>
      </c>
    </row>
    <row r="403" spans="1:7" ht="15" customHeight="1">
      <c r="A403" s="75" t="s">
        <v>1395</v>
      </c>
      <c r="B403" s="94" t="s">
        <v>1377</v>
      </c>
      <c r="C403" s="83" t="s">
        <v>26</v>
      </c>
      <c r="D403" s="111">
        <v>21.44</v>
      </c>
      <c r="E403" s="83" t="s">
        <v>1389</v>
      </c>
      <c r="F403" s="91">
        <v>9.68</v>
      </c>
      <c r="G403" s="92">
        <f>Plan1!D403*Plan1!F403</f>
        <v>207.5392</v>
      </c>
    </row>
    <row r="404" spans="1:7" ht="15" customHeight="1">
      <c r="A404" s="75" t="s">
        <v>1396</v>
      </c>
      <c r="B404" s="94" t="s">
        <v>1380</v>
      </c>
      <c r="C404" s="83" t="s">
        <v>26</v>
      </c>
      <c r="D404" s="111">
        <v>21.44</v>
      </c>
      <c r="E404" s="83" t="s">
        <v>1391</v>
      </c>
      <c r="F404" s="91">
        <v>3.3</v>
      </c>
      <c r="G404" s="92">
        <f>Plan1!D404*Plan1!F404</f>
        <v>70.752</v>
      </c>
    </row>
    <row r="405" spans="1:7" ht="25.5" customHeight="1">
      <c r="A405" s="75" t="s">
        <v>1397</v>
      </c>
      <c r="B405" s="79" t="s">
        <v>1398</v>
      </c>
      <c r="C405" s="83" t="s">
        <v>414</v>
      </c>
      <c r="D405" s="111">
        <v>48</v>
      </c>
      <c r="E405" s="83" t="s">
        <v>1399</v>
      </c>
      <c r="F405" s="91">
        <v>702.03</v>
      </c>
      <c r="G405" s="92">
        <f>Plan1!D405*Plan1!F405</f>
        <v>33697.44</v>
      </c>
    </row>
    <row r="406" spans="1:7" ht="25.5" customHeight="1">
      <c r="A406" s="75" t="s">
        <v>1400</v>
      </c>
      <c r="B406" s="94" t="s">
        <v>1401</v>
      </c>
      <c r="C406" s="83" t="s">
        <v>414</v>
      </c>
      <c r="D406" s="111">
        <v>38</v>
      </c>
      <c r="E406" s="83" t="s">
        <v>1402</v>
      </c>
      <c r="F406" s="91">
        <v>304.99</v>
      </c>
      <c r="G406" s="92">
        <f>Plan1!D406*Plan1!F406</f>
        <v>11589.62</v>
      </c>
    </row>
    <row r="407" spans="1:7" ht="15" customHeight="1">
      <c r="A407" s="75" t="s">
        <v>1403</v>
      </c>
      <c r="B407" s="94" t="s">
        <v>1404</v>
      </c>
      <c r="C407" s="83" t="s">
        <v>414</v>
      </c>
      <c r="D407" s="111">
        <v>38</v>
      </c>
      <c r="E407" s="83" t="s">
        <v>1405</v>
      </c>
      <c r="F407" s="91">
        <v>57.39</v>
      </c>
      <c r="G407" s="92">
        <f>Plan1!D407*Plan1!F407</f>
        <v>2180.82</v>
      </c>
    </row>
    <row r="408" spans="1:7" ht="25.5" customHeight="1">
      <c r="A408" s="75" t="s">
        <v>1406</v>
      </c>
      <c r="B408" s="94" t="s">
        <v>1407</v>
      </c>
      <c r="C408" s="83" t="s">
        <v>414</v>
      </c>
      <c r="D408" s="111">
        <v>38</v>
      </c>
      <c r="E408" s="83" t="s">
        <v>1408</v>
      </c>
      <c r="F408" s="91">
        <v>73.19</v>
      </c>
      <c r="G408" s="92">
        <f>Plan1!D408*Plan1!F408</f>
        <v>2781.22</v>
      </c>
    </row>
    <row r="409" spans="1:7" ht="15" customHeight="1">
      <c r="A409" s="75" t="s">
        <v>1409</v>
      </c>
      <c r="B409" s="94" t="s">
        <v>1410</v>
      </c>
      <c r="C409" s="83" t="s">
        <v>52</v>
      </c>
      <c r="D409" s="111">
        <v>0.15</v>
      </c>
      <c r="E409" s="83" t="s">
        <v>1411</v>
      </c>
      <c r="F409" s="91">
        <v>86.01</v>
      </c>
      <c r="G409" s="92">
        <f>Plan1!D409*Plan1!F409</f>
        <v>12.9015</v>
      </c>
    </row>
    <row r="410" spans="1:7" ht="25.5" customHeight="1">
      <c r="A410" s="75" t="s">
        <v>1412</v>
      </c>
      <c r="B410" s="94" t="s">
        <v>1413</v>
      </c>
      <c r="C410" s="83" t="s">
        <v>414</v>
      </c>
      <c r="D410" s="111">
        <v>29</v>
      </c>
      <c r="E410" s="83" t="s">
        <v>1414</v>
      </c>
      <c r="F410" s="91">
        <v>369.07</v>
      </c>
      <c r="G410" s="92">
        <f>Plan1!D410*Plan1!F410</f>
        <v>10703.03</v>
      </c>
    </row>
    <row r="411" spans="1:7" ht="25.5" customHeight="1">
      <c r="A411" s="75" t="s">
        <v>1415</v>
      </c>
      <c r="B411" s="79" t="s">
        <v>1416</v>
      </c>
      <c r="C411" s="83" t="s">
        <v>414</v>
      </c>
      <c r="D411" s="111">
        <v>5</v>
      </c>
      <c r="E411" s="83" t="s">
        <v>1417</v>
      </c>
      <c r="F411" s="91">
        <v>1837.67</v>
      </c>
      <c r="G411" s="92">
        <f>Plan1!D411*Plan1!F411</f>
        <v>9188.35</v>
      </c>
    </row>
    <row r="412" spans="1:7" ht="25.5" customHeight="1">
      <c r="A412" s="75" t="s">
        <v>1418</v>
      </c>
      <c r="B412" s="94" t="s">
        <v>1419</v>
      </c>
      <c r="C412" s="83" t="s">
        <v>414</v>
      </c>
      <c r="D412" s="111">
        <v>32</v>
      </c>
      <c r="E412" s="83" t="s">
        <v>1420</v>
      </c>
      <c r="F412" s="91">
        <v>410.7</v>
      </c>
      <c r="G412" s="92">
        <f>Plan1!D412*Plan1!F412</f>
        <v>13142.4</v>
      </c>
    </row>
    <row r="413" spans="1:7" ht="25.5" customHeight="1">
      <c r="A413" s="75" t="s">
        <v>1421</v>
      </c>
      <c r="B413" s="79" t="s">
        <v>1422</v>
      </c>
      <c r="C413" s="83" t="s">
        <v>414</v>
      </c>
      <c r="D413" s="83">
        <v>37</v>
      </c>
      <c r="E413" s="83" t="s">
        <v>1423</v>
      </c>
      <c r="F413" s="91">
        <v>205</v>
      </c>
      <c r="G413" s="92">
        <f>Plan1!D413*Plan1!F413</f>
        <v>7585</v>
      </c>
    </row>
    <row r="414" spans="1:7" ht="15" customHeight="1">
      <c r="A414" s="75" t="s">
        <v>1424</v>
      </c>
      <c r="B414" s="94" t="s">
        <v>1302</v>
      </c>
      <c r="C414" s="83" t="s">
        <v>52</v>
      </c>
      <c r="D414" s="111">
        <v>25</v>
      </c>
      <c r="E414" s="83" t="s">
        <v>1425</v>
      </c>
      <c r="F414" s="91">
        <v>15.88</v>
      </c>
      <c r="G414" s="92">
        <f>Plan1!D414*Plan1!F414</f>
        <v>397</v>
      </c>
    </row>
    <row r="415" spans="1:7" ht="15" customHeight="1">
      <c r="A415" s="75" t="s">
        <v>1426</v>
      </c>
      <c r="B415" s="94" t="s">
        <v>1427</v>
      </c>
      <c r="C415" s="83" t="s">
        <v>52</v>
      </c>
      <c r="D415" s="111">
        <v>6.56</v>
      </c>
      <c r="E415" s="83" t="s">
        <v>1428</v>
      </c>
      <c r="F415" s="91">
        <v>16.67</v>
      </c>
      <c r="G415" s="92">
        <f>Plan1!D415*Plan1!F415</f>
        <v>109.35520000000001</v>
      </c>
    </row>
    <row r="416" spans="1:7" ht="15" customHeight="1">
      <c r="A416" s="103"/>
      <c r="B416" s="737" t="s">
        <v>668</v>
      </c>
      <c r="C416" s="737"/>
      <c r="D416" s="737"/>
      <c r="E416" s="737"/>
      <c r="F416" s="737"/>
      <c r="G416" s="95">
        <f>SUM(Plan1!G386:G415)</f>
        <v>136076.1976</v>
      </c>
    </row>
    <row r="417" spans="1:7" ht="15" customHeight="1">
      <c r="A417" s="98" t="s">
        <v>358</v>
      </c>
      <c r="B417" s="736" t="s">
        <v>1429</v>
      </c>
      <c r="C417" s="736"/>
      <c r="D417" s="736"/>
      <c r="E417" s="736"/>
      <c r="F417" s="736"/>
      <c r="G417" s="736"/>
    </row>
    <row r="418" spans="1:7" ht="25.5" customHeight="1">
      <c r="A418" s="75" t="s">
        <v>360</v>
      </c>
      <c r="B418" s="94" t="s">
        <v>1430</v>
      </c>
      <c r="C418" s="80" t="s">
        <v>474</v>
      </c>
      <c r="D418" s="113">
        <v>2</v>
      </c>
      <c r="E418" s="80" t="s">
        <v>1431</v>
      </c>
      <c r="F418" s="91">
        <v>20024.96</v>
      </c>
      <c r="G418" s="92">
        <f>Plan1!D418*Plan1!F418</f>
        <v>40049.92</v>
      </c>
    </row>
    <row r="419" spans="1:7" ht="15" customHeight="1">
      <c r="A419" s="75" t="s">
        <v>381</v>
      </c>
      <c r="B419" s="94" t="s">
        <v>1432</v>
      </c>
      <c r="C419" s="80" t="s">
        <v>474</v>
      </c>
      <c r="D419" s="113">
        <v>14</v>
      </c>
      <c r="E419" s="80" t="s">
        <v>1433</v>
      </c>
      <c r="F419" s="91">
        <v>13024.96</v>
      </c>
      <c r="G419" s="92">
        <f>Plan1!D419*Plan1!F419</f>
        <v>182349.44</v>
      </c>
    </row>
    <row r="420" spans="1:7" ht="15" customHeight="1">
      <c r="A420" s="75" t="s">
        <v>1434</v>
      </c>
      <c r="B420" s="94" t="s">
        <v>1435</v>
      </c>
      <c r="C420" s="80" t="s">
        <v>474</v>
      </c>
      <c r="D420" s="113">
        <v>2</v>
      </c>
      <c r="E420" s="80" t="s">
        <v>1436</v>
      </c>
      <c r="F420" s="91">
        <v>13529.95</v>
      </c>
      <c r="G420" s="92">
        <f>Plan1!D420*Plan1!F420</f>
        <v>27059.9</v>
      </c>
    </row>
    <row r="421" spans="1:7" ht="15" customHeight="1">
      <c r="A421" s="75" t="s">
        <v>1437</v>
      </c>
      <c r="B421" s="94" t="s">
        <v>1438</v>
      </c>
      <c r="C421" s="80" t="s">
        <v>474</v>
      </c>
      <c r="D421" s="113">
        <v>7</v>
      </c>
      <c r="E421" s="80" t="s">
        <v>1439</v>
      </c>
      <c r="F421" s="91">
        <v>7529.95</v>
      </c>
      <c r="G421" s="92">
        <f>Plan1!D421*Plan1!F421</f>
        <v>52709.65</v>
      </c>
    </row>
    <row r="422" spans="1:7" ht="15" customHeight="1">
      <c r="A422" s="75" t="s">
        <v>1440</v>
      </c>
      <c r="B422" s="94" t="s">
        <v>1441</v>
      </c>
      <c r="C422" s="80" t="s">
        <v>474</v>
      </c>
      <c r="D422" s="113">
        <v>16</v>
      </c>
      <c r="E422" s="80" t="s">
        <v>1442</v>
      </c>
      <c r="F422" s="91">
        <v>4829.95</v>
      </c>
      <c r="G422" s="92">
        <f>Plan1!D422*Plan1!F422</f>
        <v>77279.2</v>
      </c>
    </row>
    <row r="423" spans="1:7" ht="15" customHeight="1">
      <c r="A423" s="75" t="s">
        <v>1443</v>
      </c>
      <c r="B423" s="94" t="s">
        <v>1444</v>
      </c>
      <c r="C423" s="80" t="s">
        <v>474</v>
      </c>
      <c r="D423" s="113">
        <v>24</v>
      </c>
      <c r="E423" s="80" t="s">
        <v>1445</v>
      </c>
      <c r="F423" s="91">
        <v>921.39</v>
      </c>
      <c r="G423" s="92">
        <f>Plan1!D423*Plan1!F423</f>
        <v>22113.36</v>
      </c>
    </row>
    <row r="424" spans="1:7" ht="15" customHeight="1">
      <c r="A424" s="75" t="s">
        <v>1446</v>
      </c>
      <c r="B424" s="94" t="s">
        <v>1447</v>
      </c>
      <c r="C424" s="80" t="s">
        <v>474</v>
      </c>
      <c r="D424" s="113">
        <v>90</v>
      </c>
      <c r="E424" s="80" t="s">
        <v>1448</v>
      </c>
      <c r="F424" s="91">
        <v>1812.12</v>
      </c>
      <c r="G424" s="92">
        <f>Plan1!D424*Plan1!F424</f>
        <v>163090.8</v>
      </c>
    </row>
    <row r="425" spans="1:7" ht="25.5" customHeight="1">
      <c r="A425" s="75" t="s">
        <v>1449</v>
      </c>
      <c r="B425" s="94" t="s">
        <v>1450</v>
      </c>
      <c r="C425" s="80" t="s">
        <v>474</v>
      </c>
      <c r="D425" s="113">
        <v>1</v>
      </c>
      <c r="E425" s="80" t="s">
        <v>1451</v>
      </c>
      <c r="F425" s="91">
        <v>2509.27</v>
      </c>
      <c r="G425" s="92">
        <f>Plan1!D425*Plan1!F425</f>
        <v>2509.27</v>
      </c>
    </row>
    <row r="426" spans="1:7" ht="15" customHeight="1">
      <c r="A426" s="75" t="s">
        <v>1452</v>
      </c>
      <c r="B426" s="94" t="s">
        <v>1453</v>
      </c>
      <c r="C426" s="80" t="s">
        <v>474</v>
      </c>
      <c r="D426" s="113">
        <v>1</v>
      </c>
      <c r="E426" s="80" t="s">
        <v>1454</v>
      </c>
      <c r="F426" s="91">
        <v>28014.97</v>
      </c>
      <c r="G426" s="92">
        <f>Plan1!D426*Plan1!F426</f>
        <v>28014.97</v>
      </c>
    </row>
    <row r="427" spans="1:7" ht="15" customHeight="1">
      <c r="A427" s="75" t="s">
        <v>1455</v>
      </c>
      <c r="B427" s="94" t="s">
        <v>1456</v>
      </c>
      <c r="C427" s="80" t="s">
        <v>474</v>
      </c>
      <c r="D427" s="113">
        <v>8</v>
      </c>
      <c r="E427" s="80" t="s">
        <v>1457</v>
      </c>
      <c r="F427" s="91">
        <v>857.13</v>
      </c>
      <c r="G427" s="92">
        <f>Plan1!D427*Plan1!F427</f>
        <v>6857.04</v>
      </c>
    </row>
    <row r="428" spans="1:7" ht="15" customHeight="1">
      <c r="A428" s="75" t="s">
        <v>1458</v>
      </c>
      <c r="B428" s="94" t="s">
        <v>1459</v>
      </c>
      <c r="C428" s="80" t="s">
        <v>474</v>
      </c>
      <c r="D428" s="113">
        <v>1</v>
      </c>
      <c r="E428" s="80" t="s">
        <v>1460</v>
      </c>
      <c r="F428" s="91">
        <v>2507.13</v>
      </c>
      <c r="G428" s="92">
        <f>Plan1!D428*Plan1!F428</f>
        <v>2507.13</v>
      </c>
    </row>
    <row r="429" spans="1:7" ht="15" customHeight="1">
      <c r="A429" s="103"/>
      <c r="B429" s="737" t="s">
        <v>668</v>
      </c>
      <c r="C429" s="737"/>
      <c r="D429" s="737"/>
      <c r="E429" s="737"/>
      <c r="F429" s="737"/>
      <c r="G429" s="95">
        <f>SUM(Plan1!G418:G428)</f>
        <v>604540.68</v>
      </c>
    </row>
    <row r="430" spans="1:7" ht="15" customHeight="1">
      <c r="A430" s="114" t="s">
        <v>388</v>
      </c>
      <c r="B430" s="736" t="s">
        <v>1461</v>
      </c>
      <c r="C430" s="736"/>
      <c r="D430" s="736"/>
      <c r="E430" s="736"/>
      <c r="F430" s="736"/>
      <c r="G430" s="736"/>
    </row>
    <row r="431" spans="1:7" ht="63.75" customHeight="1">
      <c r="A431" s="75" t="s">
        <v>390</v>
      </c>
      <c r="B431" s="79" t="s">
        <v>1462</v>
      </c>
      <c r="C431" s="80" t="s">
        <v>674</v>
      </c>
      <c r="D431" s="80">
        <v>4600</v>
      </c>
      <c r="E431" s="83" t="s">
        <v>1463</v>
      </c>
      <c r="F431" s="81">
        <v>55.13</v>
      </c>
      <c r="G431" s="82">
        <f>Plan1!F431*Plan1!D431</f>
        <v>253598</v>
      </c>
    </row>
    <row r="432" spans="1:7" ht="63.75" customHeight="1">
      <c r="A432" s="75" t="s">
        <v>1464</v>
      </c>
      <c r="B432" s="79" t="s">
        <v>1465</v>
      </c>
      <c r="C432" s="80" t="s">
        <v>674</v>
      </c>
      <c r="D432" s="80">
        <v>900</v>
      </c>
      <c r="E432" s="83" t="s">
        <v>1466</v>
      </c>
      <c r="F432" s="81">
        <v>35.77</v>
      </c>
      <c r="G432" s="82">
        <f>Plan1!F432*Plan1!D432</f>
        <v>32193.000000000004</v>
      </c>
    </row>
    <row r="433" spans="1:7" ht="63.75" customHeight="1">
      <c r="A433" s="75" t="s">
        <v>1467</v>
      </c>
      <c r="B433" s="79" t="s">
        <v>1468</v>
      </c>
      <c r="C433" s="80" t="s">
        <v>674</v>
      </c>
      <c r="D433" s="80">
        <v>200</v>
      </c>
      <c r="E433" s="83" t="s">
        <v>1236</v>
      </c>
      <c r="F433" s="81">
        <v>28.39</v>
      </c>
      <c r="G433" s="82">
        <f>Plan1!F433*Plan1!D433</f>
        <v>5678</v>
      </c>
    </row>
    <row r="434" spans="1:7" ht="25.5" customHeight="1">
      <c r="A434" s="75" t="s">
        <v>1469</v>
      </c>
      <c r="B434" s="79" t="s">
        <v>1470</v>
      </c>
      <c r="C434" s="80" t="s">
        <v>1471</v>
      </c>
      <c r="D434" s="80">
        <v>175</v>
      </c>
      <c r="E434" s="80" t="s">
        <v>1472</v>
      </c>
      <c r="F434" s="81">
        <v>41.21</v>
      </c>
      <c r="G434" s="82">
        <f>Plan1!F434*Plan1!D434</f>
        <v>7211.75</v>
      </c>
    </row>
    <row r="435" spans="1:7" ht="25.5" customHeight="1">
      <c r="A435" s="75" t="s">
        <v>1473</v>
      </c>
      <c r="B435" s="79" t="s">
        <v>1474</v>
      </c>
      <c r="C435" s="80" t="s">
        <v>1471</v>
      </c>
      <c r="D435" s="80">
        <v>32</v>
      </c>
      <c r="E435" s="83" t="s">
        <v>1475</v>
      </c>
      <c r="F435" s="81">
        <v>37.89</v>
      </c>
      <c r="G435" s="82">
        <f>Plan1!F435*Plan1!D435</f>
        <v>1212.48</v>
      </c>
    </row>
    <row r="436" spans="1:7" ht="63.75" customHeight="1">
      <c r="A436" s="75" t="s">
        <v>1476</v>
      </c>
      <c r="B436" s="79" t="s">
        <v>1477</v>
      </c>
      <c r="C436" s="80" t="s">
        <v>674</v>
      </c>
      <c r="D436" s="80">
        <v>500</v>
      </c>
      <c r="E436" s="83" t="s">
        <v>1478</v>
      </c>
      <c r="F436" s="81">
        <v>21.68</v>
      </c>
      <c r="G436" s="82">
        <f>Plan1!F436*Plan1!D436</f>
        <v>10840</v>
      </c>
    </row>
    <row r="437" spans="1:7" ht="15" customHeight="1">
      <c r="A437" s="75" t="s">
        <v>1479</v>
      </c>
      <c r="B437" s="79" t="s">
        <v>1480</v>
      </c>
      <c r="C437" s="80" t="s">
        <v>674</v>
      </c>
      <c r="D437" s="80">
        <v>360</v>
      </c>
      <c r="E437" s="83" t="s">
        <v>1481</v>
      </c>
      <c r="F437" s="81">
        <v>33.47</v>
      </c>
      <c r="G437" s="82">
        <f>Plan1!F437*Plan1!D437</f>
        <v>12049.199999999999</v>
      </c>
    </row>
    <row r="438" spans="1:7" ht="38.25" customHeight="1">
      <c r="A438" s="75" t="s">
        <v>1482</v>
      </c>
      <c r="B438" s="79" t="s">
        <v>1483</v>
      </c>
      <c r="C438" s="80" t="s">
        <v>671</v>
      </c>
      <c r="D438" s="80">
        <v>6</v>
      </c>
      <c r="E438" s="80" t="s">
        <v>1484</v>
      </c>
      <c r="F438" s="81">
        <v>2032.09</v>
      </c>
      <c r="G438" s="82">
        <f>Plan1!F438*Plan1!D438</f>
        <v>12192.539999999999</v>
      </c>
    </row>
    <row r="439" spans="1:7" ht="15" customHeight="1">
      <c r="A439" s="75" t="s">
        <v>1485</v>
      </c>
      <c r="B439" s="79" t="s">
        <v>1486</v>
      </c>
      <c r="C439" s="80" t="s">
        <v>671</v>
      </c>
      <c r="D439" s="80">
        <v>48</v>
      </c>
      <c r="E439" s="83" t="s">
        <v>1487</v>
      </c>
      <c r="F439" s="81">
        <v>8.98</v>
      </c>
      <c r="G439" s="82">
        <f>Plan1!F439*Plan1!D439</f>
        <v>431.04</v>
      </c>
    </row>
    <row r="440" spans="1:7" ht="15" customHeight="1">
      <c r="A440" s="75" t="s">
        <v>1488</v>
      </c>
      <c r="B440" s="79" t="s">
        <v>1489</v>
      </c>
      <c r="C440" s="80" t="s">
        <v>671</v>
      </c>
      <c r="D440" s="80">
        <v>10</v>
      </c>
      <c r="E440" s="83" t="s">
        <v>1490</v>
      </c>
      <c r="F440" s="81">
        <v>3.72</v>
      </c>
      <c r="G440" s="82">
        <f>Plan1!F440*Plan1!D440</f>
        <v>37.2</v>
      </c>
    </row>
    <row r="441" spans="1:7" ht="15" customHeight="1">
      <c r="A441" s="75" t="s">
        <v>1491</v>
      </c>
      <c r="B441" s="79" t="s">
        <v>1492</v>
      </c>
      <c r="C441" s="80" t="s">
        <v>671</v>
      </c>
      <c r="D441" s="80">
        <v>10</v>
      </c>
      <c r="E441" s="83" t="s">
        <v>1493</v>
      </c>
      <c r="F441" s="81">
        <v>2.87</v>
      </c>
      <c r="G441" s="82">
        <f>Plan1!F441*Plan1!D441</f>
        <v>28.700000000000003</v>
      </c>
    </row>
    <row r="442" spans="1:7" ht="15" customHeight="1">
      <c r="A442" s="75" t="s">
        <v>1494</v>
      </c>
      <c r="B442" s="79" t="s">
        <v>1495</v>
      </c>
      <c r="C442" s="80" t="s">
        <v>671</v>
      </c>
      <c r="D442" s="80">
        <v>10</v>
      </c>
      <c r="E442" s="83" t="s">
        <v>1496</v>
      </c>
      <c r="F442" s="81">
        <v>2.46</v>
      </c>
      <c r="G442" s="82">
        <f>Plan1!F442*Plan1!D442</f>
        <v>24.6</v>
      </c>
    </row>
    <row r="443" spans="1:7" ht="25.5" customHeight="1">
      <c r="A443" s="75" t="s">
        <v>1497</v>
      </c>
      <c r="B443" s="79" t="s">
        <v>1498</v>
      </c>
      <c r="C443" s="80" t="s">
        <v>671</v>
      </c>
      <c r="D443" s="80">
        <v>6</v>
      </c>
      <c r="E443" s="80" t="s">
        <v>1499</v>
      </c>
      <c r="F443" s="81">
        <v>209.15</v>
      </c>
      <c r="G443" s="82">
        <f>Plan1!F443*Plan1!D443</f>
        <v>1254.9</v>
      </c>
    </row>
    <row r="444" spans="1:7" ht="38.25" customHeight="1">
      <c r="A444" s="75" t="s">
        <v>1500</v>
      </c>
      <c r="B444" s="79" t="s">
        <v>1501</v>
      </c>
      <c r="C444" s="80" t="s">
        <v>671</v>
      </c>
      <c r="D444" s="80">
        <v>6</v>
      </c>
      <c r="E444" s="80" t="s">
        <v>1502</v>
      </c>
      <c r="F444" s="81">
        <v>2418.54</v>
      </c>
      <c r="G444" s="82">
        <f>Plan1!F444*Plan1!D444</f>
        <v>14511.24</v>
      </c>
    </row>
    <row r="445" spans="1:7" ht="38.25" customHeight="1">
      <c r="A445" s="75" t="s">
        <v>1503</v>
      </c>
      <c r="B445" s="79" t="s">
        <v>1504</v>
      </c>
      <c r="C445" s="80" t="s">
        <v>671</v>
      </c>
      <c r="D445" s="80">
        <v>6</v>
      </c>
      <c r="E445" s="80" t="s">
        <v>1505</v>
      </c>
      <c r="F445" s="81">
        <v>618.54</v>
      </c>
      <c r="G445" s="82">
        <f>Plan1!F445*Plan1!D445</f>
        <v>3711.24</v>
      </c>
    </row>
    <row r="446" spans="1:7" ht="38.25" customHeight="1">
      <c r="A446" s="75" t="s">
        <v>1506</v>
      </c>
      <c r="B446" s="79" t="s">
        <v>1507</v>
      </c>
      <c r="C446" s="80" t="s">
        <v>671</v>
      </c>
      <c r="D446" s="80">
        <v>2</v>
      </c>
      <c r="E446" s="80" t="s">
        <v>1508</v>
      </c>
      <c r="F446" s="81">
        <v>868.54</v>
      </c>
      <c r="G446" s="82">
        <f>Plan1!F446*Plan1!D446</f>
        <v>1737.08</v>
      </c>
    </row>
    <row r="447" spans="1:7" ht="25.5" customHeight="1">
      <c r="A447" s="75" t="s">
        <v>1509</v>
      </c>
      <c r="B447" s="79" t="s">
        <v>1510</v>
      </c>
      <c r="C447" s="80" t="s">
        <v>671</v>
      </c>
      <c r="D447" s="80">
        <v>6</v>
      </c>
      <c r="E447" s="80" t="s">
        <v>1511</v>
      </c>
      <c r="F447" s="81">
        <v>45.7</v>
      </c>
      <c r="G447" s="82">
        <f>Plan1!F447*Plan1!D447</f>
        <v>274.20000000000005</v>
      </c>
    </row>
    <row r="448" spans="1:7" ht="25.5" customHeight="1">
      <c r="A448" s="75" t="s">
        <v>1512</v>
      </c>
      <c r="B448" s="79" t="s">
        <v>1513</v>
      </c>
      <c r="C448" s="80" t="s">
        <v>671</v>
      </c>
      <c r="D448" s="80">
        <v>3</v>
      </c>
      <c r="E448" s="80" t="s">
        <v>1514</v>
      </c>
      <c r="F448" s="81">
        <v>205.7</v>
      </c>
      <c r="G448" s="82">
        <f>Plan1!F448*Plan1!D448</f>
        <v>617.0999999999999</v>
      </c>
    </row>
    <row r="449" spans="1:7" ht="25.5" customHeight="1">
      <c r="A449" s="75" t="s">
        <v>1515</v>
      </c>
      <c r="B449" s="79" t="s">
        <v>1516</v>
      </c>
      <c r="C449" s="80" t="s">
        <v>671</v>
      </c>
      <c r="D449" s="80">
        <v>3</v>
      </c>
      <c r="E449" s="80" t="s">
        <v>1517</v>
      </c>
      <c r="F449" s="81">
        <v>155.7</v>
      </c>
      <c r="G449" s="82">
        <f>Plan1!F449*Plan1!D449</f>
        <v>467.09999999999997</v>
      </c>
    </row>
    <row r="450" spans="1:7" ht="25.5" customHeight="1">
      <c r="A450" s="75" t="s">
        <v>1518</v>
      </c>
      <c r="B450" s="79" t="s">
        <v>1519</v>
      </c>
      <c r="C450" s="80" t="s">
        <v>671</v>
      </c>
      <c r="D450" s="80">
        <v>3</v>
      </c>
      <c r="E450" s="80" t="s">
        <v>1520</v>
      </c>
      <c r="F450" s="81">
        <v>75.7</v>
      </c>
      <c r="G450" s="82">
        <f>Plan1!F450*Plan1!D450</f>
        <v>227.10000000000002</v>
      </c>
    </row>
    <row r="451" spans="1:7" ht="38.25" customHeight="1">
      <c r="A451" s="75" t="s">
        <v>1521</v>
      </c>
      <c r="B451" s="79" t="s">
        <v>1522</v>
      </c>
      <c r="C451" s="80" t="s">
        <v>671</v>
      </c>
      <c r="D451" s="80">
        <v>3</v>
      </c>
      <c r="E451" s="80" t="s">
        <v>1523</v>
      </c>
      <c r="F451" s="81">
        <v>1380.66</v>
      </c>
      <c r="G451" s="82">
        <f>Plan1!F451*Plan1!D451</f>
        <v>4141.9800000000005</v>
      </c>
    </row>
    <row r="452" spans="1:7" ht="15" customHeight="1">
      <c r="A452" s="75" t="s">
        <v>1524</v>
      </c>
      <c r="B452" s="79" t="s">
        <v>1525</v>
      </c>
      <c r="C452" s="80" t="s">
        <v>674</v>
      </c>
      <c r="D452" s="80">
        <v>90</v>
      </c>
      <c r="E452" s="80" t="s">
        <v>1526</v>
      </c>
      <c r="F452" s="81">
        <v>60.84</v>
      </c>
      <c r="G452" s="82">
        <f>Plan1!F452*Plan1!D452</f>
        <v>5475.6</v>
      </c>
    </row>
    <row r="453" spans="1:7" ht="15" customHeight="1">
      <c r="A453" s="75" t="s">
        <v>1527</v>
      </c>
      <c r="B453" s="79" t="s">
        <v>1528</v>
      </c>
      <c r="C453" s="80" t="s">
        <v>674</v>
      </c>
      <c r="D453" s="80">
        <v>150</v>
      </c>
      <c r="E453" s="80" t="s">
        <v>1529</v>
      </c>
      <c r="F453" s="81">
        <v>150</v>
      </c>
      <c r="G453" s="82">
        <f>Plan1!F453*Plan1!D453</f>
        <v>22500</v>
      </c>
    </row>
    <row r="454" spans="1:7" ht="15" customHeight="1">
      <c r="A454" s="75" t="s">
        <v>1530</v>
      </c>
      <c r="B454" s="79" t="s">
        <v>1531</v>
      </c>
      <c r="C454" s="80" t="s">
        <v>739</v>
      </c>
      <c r="D454" s="80">
        <v>500</v>
      </c>
      <c r="E454" s="80" t="s">
        <v>347</v>
      </c>
      <c r="F454" s="81">
        <v>36.43</v>
      </c>
      <c r="G454" s="82">
        <f>Plan1!F454*Plan1!D454</f>
        <v>18215</v>
      </c>
    </row>
    <row r="455" spans="1:7" ht="15" customHeight="1">
      <c r="A455" s="75" t="s">
        <v>1532</v>
      </c>
      <c r="B455" s="90" t="s">
        <v>1533</v>
      </c>
      <c r="C455" s="80" t="s">
        <v>739</v>
      </c>
      <c r="D455" s="80">
        <v>1500</v>
      </c>
      <c r="E455" s="83" t="s">
        <v>740</v>
      </c>
      <c r="F455" s="81">
        <v>1.99</v>
      </c>
      <c r="G455" s="82">
        <f>Plan1!F455*Plan1!D455</f>
        <v>2985</v>
      </c>
    </row>
    <row r="456" spans="1:7" ht="25.5" customHeight="1">
      <c r="A456" s="75" t="s">
        <v>1534</v>
      </c>
      <c r="B456" s="79" t="s">
        <v>1535</v>
      </c>
      <c r="C456" s="80" t="s">
        <v>739</v>
      </c>
      <c r="D456" s="80">
        <v>1500</v>
      </c>
      <c r="E456" s="80" t="s">
        <v>1536</v>
      </c>
      <c r="F456" s="81">
        <v>1.59</v>
      </c>
      <c r="G456" s="82">
        <f>Plan1!F456*Plan1!D456</f>
        <v>2385</v>
      </c>
    </row>
    <row r="457" spans="1:7" ht="25.5" customHeight="1">
      <c r="A457" s="75" t="s">
        <v>1537</v>
      </c>
      <c r="B457" s="79" t="s">
        <v>1538</v>
      </c>
      <c r="C457" s="80" t="s">
        <v>474</v>
      </c>
      <c r="D457" s="86"/>
      <c r="E457" s="86"/>
      <c r="F457" s="81"/>
      <c r="G457" s="82"/>
    </row>
    <row r="458" spans="1:7" ht="15" customHeight="1">
      <c r="A458" s="75" t="s">
        <v>1539</v>
      </c>
      <c r="B458" s="94" t="s">
        <v>1374</v>
      </c>
      <c r="C458" s="83" t="s">
        <v>26</v>
      </c>
      <c r="D458" s="111">
        <v>35</v>
      </c>
      <c r="E458" s="83" t="s">
        <v>1540</v>
      </c>
      <c r="F458" s="91">
        <v>27.6</v>
      </c>
      <c r="G458" s="82">
        <f>Plan1!F458*Plan1!D458</f>
        <v>966</v>
      </c>
    </row>
    <row r="459" spans="1:7" ht="15" customHeight="1">
      <c r="A459" s="75" t="s">
        <v>1541</v>
      </c>
      <c r="B459" s="94" t="s">
        <v>1377</v>
      </c>
      <c r="C459" s="83" t="s">
        <v>26</v>
      </c>
      <c r="D459" s="111">
        <v>70</v>
      </c>
      <c r="E459" s="83" t="s">
        <v>1542</v>
      </c>
      <c r="F459" s="91">
        <v>9.68</v>
      </c>
      <c r="G459" s="82">
        <f>Plan1!F459*Plan1!D459</f>
        <v>677.6</v>
      </c>
    </row>
    <row r="460" spans="1:7" ht="15" customHeight="1">
      <c r="A460" s="75" t="s">
        <v>1543</v>
      </c>
      <c r="B460" s="94" t="s">
        <v>1380</v>
      </c>
      <c r="C460" s="83" t="s">
        <v>26</v>
      </c>
      <c r="D460" s="111">
        <v>70</v>
      </c>
      <c r="E460" s="83" t="s">
        <v>1391</v>
      </c>
      <c r="F460" s="91">
        <v>3.3</v>
      </c>
      <c r="G460" s="82">
        <f>Plan1!F460*Plan1!D460</f>
        <v>231</v>
      </c>
    </row>
    <row r="461" spans="1:7" ht="15" customHeight="1">
      <c r="A461" s="75" t="s">
        <v>1544</v>
      </c>
      <c r="B461" s="94" t="s">
        <v>1545</v>
      </c>
      <c r="C461" s="83" t="s">
        <v>474</v>
      </c>
      <c r="D461" s="111">
        <v>3</v>
      </c>
      <c r="E461" s="83" t="s">
        <v>1546</v>
      </c>
      <c r="F461" s="91">
        <v>580</v>
      </c>
      <c r="G461" s="82">
        <f>Plan1!F461*Plan1!D461</f>
        <v>1740</v>
      </c>
    </row>
    <row r="462" spans="1:7" ht="25.5" customHeight="1">
      <c r="A462" s="75" t="s">
        <v>1547</v>
      </c>
      <c r="B462" s="79" t="s">
        <v>1548</v>
      </c>
      <c r="C462" s="80" t="s">
        <v>671</v>
      </c>
      <c r="D462" s="80">
        <v>3</v>
      </c>
      <c r="E462" s="80" t="s">
        <v>1549</v>
      </c>
      <c r="F462" s="81">
        <v>203.21</v>
      </c>
      <c r="G462" s="82">
        <f>Plan1!F462*Plan1!D462</f>
        <v>609.63</v>
      </c>
    </row>
    <row r="463" spans="1:7" ht="15" customHeight="1">
      <c r="A463" s="103"/>
      <c r="B463" s="737" t="s">
        <v>668</v>
      </c>
      <c r="C463" s="737"/>
      <c r="D463" s="737"/>
      <c r="E463" s="737"/>
      <c r="F463" s="737"/>
      <c r="G463" s="95">
        <f>SUM(Plan1!G431:G462)</f>
        <v>418223.27999999985</v>
      </c>
    </row>
    <row r="464" spans="1:7" ht="15" customHeight="1">
      <c r="A464" s="103"/>
      <c r="B464" s="737" t="s">
        <v>1550</v>
      </c>
      <c r="C464" s="737"/>
      <c r="D464" s="737"/>
      <c r="E464" s="737"/>
      <c r="F464" s="737"/>
      <c r="G464" s="115">
        <f>Plan1!G12+Plan1!G96+Plan1!G203+Plan1!G275+Plan1!G353+Plan1!G374+Plan1!G384+Plan1!G416+Plan1!G463</f>
        <v>2804522.0075000003</v>
      </c>
    </row>
    <row r="465" spans="1:7" ht="15" customHeight="1">
      <c r="A465" s="103"/>
      <c r="B465" s="740" t="s">
        <v>1551</v>
      </c>
      <c r="C465" s="740"/>
      <c r="D465" s="740"/>
      <c r="E465" s="740"/>
      <c r="F465" s="116">
        <v>0.23423</v>
      </c>
      <c r="G465" s="117">
        <f>Plan1!F465*Plan1!G464</f>
        <v>656903.1898167251</v>
      </c>
    </row>
    <row r="466" spans="1:7" ht="15" customHeight="1">
      <c r="A466" s="118"/>
      <c r="B466" s="741" t="s">
        <v>1552</v>
      </c>
      <c r="C466" s="741"/>
      <c r="D466" s="741"/>
      <c r="E466" s="741"/>
      <c r="F466" s="741"/>
      <c r="G466" s="119">
        <f>Plan1!G465+Plan1!G464</f>
        <v>3461425.1973167253</v>
      </c>
    </row>
    <row r="467" spans="1:7" ht="15" customHeight="1">
      <c r="A467" s="103"/>
      <c r="B467" s="742" t="s">
        <v>1553</v>
      </c>
      <c r="C467" s="742"/>
      <c r="D467" s="742"/>
      <c r="E467" s="742"/>
      <c r="F467" s="742"/>
      <c r="G467" s="120">
        <f>Plan1!G429</f>
        <v>604540.68</v>
      </c>
    </row>
    <row r="468" spans="1:7" ht="15" customHeight="1">
      <c r="A468" s="103"/>
      <c r="B468" s="740" t="s">
        <v>1554</v>
      </c>
      <c r="C468" s="740"/>
      <c r="D468" s="740"/>
      <c r="E468" s="740"/>
      <c r="F468" s="116">
        <v>0.171587</v>
      </c>
      <c r="G468" s="117">
        <f>Plan1!F468*Plan1!G467</f>
        <v>103731.32165916</v>
      </c>
    </row>
    <row r="469" spans="1:7" ht="15" customHeight="1">
      <c r="A469" s="118"/>
      <c r="B469" s="741" t="s">
        <v>1555</v>
      </c>
      <c r="C469" s="741"/>
      <c r="D469" s="741"/>
      <c r="E469" s="741"/>
      <c r="F469" s="741"/>
      <c r="G469" s="119">
        <f>Plan1!G467+Plan1!G468</f>
        <v>708272.00165916</v>
      </c>
    </row>
    <row r="470" spans="1:7" ht="15" customHeight="1">
      <c r="A470" s="121"/>
      <c r="B470" s="743"/>
      <c r="C470" s="743"/>
      <c r="D470" s="743"/>
      <c r="E470" s="743"/>
      <c r="F470" s="743"/>
      <c r="G470" s="120"/>
    </row>
    <row r="471" spans="1:7" ht="15" customHeight="1">
      <c r="A471" s="122"/>
      <c r="B471" s="741" t="s">
        <v>1556</v>
      </c>
      <c r="C471" s="741"/>
      <c r="D471" s="741"/>
      <c r="E471" s="741"/>
      <c r="F471" s="741"/>
      <c r="G471" s="119">
        <f>Plan1!G469+Plan1!G466</f>
        <v>4169697.1989758853</v>
      </c>
    </row>
  </sheetData>
  <sheetProtection/>
  <mergeCells count="31">
    <mergeCell ref="B465:E465"/>
    <mergeCell ref="B471:F471"/>
    <mergeCell ref="B466:F466"/>
    <mergeCell ref="B467:F467"/>
    <mergeCell ref="B468:E468"/>
    <mergeCell ref="B469:F469"/>
    <mergeCell ref="B470:F470"/>
    <mergeCell ref="B416:F416"/>
    <mergeCell ref="B417:G417"/>
    <mergeCell ref="B429:F429"/>
    <mergeCell ref="B430:G430"/>
    <mergeCell ref="B463:F463"/>
    <mergeCell ref="B464:F464"/>
    <mergeCell ref="B375:G375"/>
    <mergeCell ref="B384:F384"/>
    <mergeCell ref="B385:G385"/>
    <mergeCell ref="B392:G392"/>
    <mergeCell ref="B397:G397"/>
    <mergeCell ref="B401:G401"/>
    <mergeCell ref="B204:G204"/>
    <mergeCell ref="B275:F275"/>
    <mergeCell ref="B276:G276"/>
    <mergeCell ref="B353:F353"/>
    <mergeCell ref="B354:G354"/>
    <mergeCell ref="B374:F374"/>
    <mergeCell ref="B2:G2"/>
    <mergeCell ref="B12:F12"/>
    <mergeCell ref="B13:G13"/>
    <mergeCell ref="B96:F96"/>
    <mergeCell ref="B97:G97"/>
    <mergeCell ref="A203:F203"/>
  </mergeCells>
  <printOptions/>
  <pageMargins left="0.75" right="0.75" top="1" bottom="1" header="0.511805555555555" footer="0.5"/>
  <pageSetup horizontalDpi="300" verticalDpi="300" orientation="landscape" r:id="rId1"/>
  <headerFooter>
    <oddFooter>&amp;L&amp;"Arial,Normal"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showGridLines="0" view="pageBreakPreview" zoomScale="85" zoomScaleSheetLayoutView="85" zoomScalePageLayoutView="89" workbookViewId="0" topLeftCell="A1">
      <selection activeCell="B6" sqref="B6"/>
    </sheetView>
  </sheetViews>
  <sheetFormatPr defaultColWidth="6.59765625" defaultRowHeight="15"/>
  <cols>
    <col min="1" max="1" width="18.296875" style="1" customWidth="1"/>
    <col min="2" max="2" width="10.09765625" style="1" customWidth="1"/>
    <col min="3" max="3" width="9.09765625" style="1" customWidth="1"/>
    <col min="4" max="4" width="10.19921875" style="1" customWidth="1"/>
    <col min="5" max="5" width="8.19921875" style="1" customWidth="1"/>
    <col min="6" max="6" width="9" style="1" customWidth="1"/>
    <col min="7" max="7" width="6.09765625" style="1" customWidth="1"/>
    <col min="8" max="8" width="9.59765625" style="1" customWidth="1"/>
    <col min="9" max="9" width="6.09765625" style="1" customWidth="1"/>
    <col min="10" max="10" width="10.09765625" style="1" customWidth="1"/>
    <col min="11" max="11" width="6.19921875" style="1" customWidth="1"/>
    <col min="12" max="12" width="10" style="1" customWidth="1"/>
    <col min="13" max="13" width="6.59765625" style="1" customWidth="1"/>
    <col min="14" max="14" width="9.8984375" style="1" customWidth="1"/>
    <col min="15" max="15" width="7.19921875" style="1" customWidth="1"/>
    <col min="16" max="16384" width="6.59765625" style="1" customWidth="1"/>
  </cols>
  <sheetData>
    <row r="1" spans="1:15" ht="12.75" customHeight="1">
      <c r="A1" s="44"/>
      <c r="B1" s="45"/>
      <c r="C1" s="45"/>
      <c r="D1" s="45"/>
      <c r="E1" s="45"/>
      <c r="F1" s="45"/>
      <c r="G1" s="45"/>
      <c r="H1" s="46"/>
      <c r="I1" s="47"/>
      <c r="J1" s="47"/>
      <c r="K1" s="47"/>
      <c r="L1" s="47"/>
      <c r="M1" s="47"/>
      <c r="N1" s="47"/>
      <c r="O1" s="48"/>
    </row>
    <row r="2" spans="1:15" ht="12.75" customHeight="1">
      <c r="A2" s="49"/>
      <c r="B2" s="50"/>
      <c r="C2" s="50"/>
      <c r="D2" s="50"/>
      <c r="E2" s="50"/>
      <c r="F2" s="50"/>
      <c r="G2" s="50"/>
      <c r="I2" s="5"/>
      <c r="J2" s="5"/>
      <c r="K2" s="5"/>
      <c r="L2" s="5"/>
      <c r="M2" s="5"/>
      <c r="N2" s="5"/>
      <c r="O2" s="51"/>
    </row>
    <row r="3" spans="1:15" ht="12.75" customHeight="1">
      <c r="A3" s="49"/>
      <c r="B3" s="50"/>
      <c r="C3" s="50"/>
      <c r="D3" s="50"/>
      <c r="E3" s="50"/>
      <c r="F3" s="50"/>
      <c r="G3" s="50"/>
      <c r="I3" s="5"/>
      <c r="J3" s="5"/>
      <c r="K3" s="5"/>
      <c r="L3" s="5"/>
      <c r="M3" s="5"/>
      <c r="N3" s="5"/>
      <c r="O3" s="51"/>
    </row>
    <row r="4" spans="1:15" ht="12.75" customHeight="1">
      <c r="A4" s="49"/>
      <c r="B4" s="50"/>
      <c r="C4" s="50"/>
      <c r="D4" s="50"/>
      <c r="E4" s="50"/>
      <c r="F4" s="50"/>
      <c r="G4" s="50"/>
      <c r="I4" s="5"/>
      <c r="J4" s="5"/>
      <c r="K4" s="5"/>
      <c r="L4" s="5"/>
      <c r="M4" s="5"/>
      <c r="N4" s="5"/>
      <c r="O4" s="51"/>
    </row>
    <row r="5" spans="1:15" ht="12.75" customHeight="1">
      <c r="A5" s="49"/>
      <c r="B5" s="50"/>
      <c r="C5" s="50"/>
      <c r="D5" s="50"/>
      <c r="E5" s="50"/>
      <c r="F5" s="50"/>
      <c r="G5" s="50"/>
      <c r="I5" s="5"/>
      <c r="J5" s="5"/>
      <c r="K5" s="5"/>
      <c r="L5" s="5"/>
      <c r="M5" s="5"/>
      <c r="N5" s="5"/>
      <c r="O5" s="51"/>
    </row>
    <row r="6" spans="1:15" ht="12.75" customHeight="1">
      <c r="A6" s="49"/>
      <c r="B6" s="50"/>
      <c r="C6" s="50"/>
      <c r="D6" s="50"/>
      <c r="E6" s="50"/>
      <c r="F6" s="50"/>
      <c r="G6" s="50"/>
      <c r="I6" s="5"/>
      <c r="J6" s="5"/>
      <c r="K6" s="5"/>
      <c r="L6" s="5"/>
      <c r="M6" s="5"/>
      <c r="N6" s="5"/>
      <c r="O6" s="51"/>
    </row>
    <row r="7" spans="1:15" ht="12.75" customHeight="1">
      <c r="A7" s="744" t="s">
        <v>0</v>
      </c>
      <c r="B7" s="744"/>
      <c r="C7" s="744"/>
      <c r="D7" s="744"/>
      <c r="E7" s="744"/>
      <c r="F7" s="744"/>
      <c r="G7" s="744"/>
      <c r="H7" s="744"/>
      <c r="I7" s="744"/>
      <c r="J7" s="744"/>
      <c r="K7" s="744"/>
      <c r="L7" s="744"/>
      <c r="M7" s="744"/>
      <c r="N7" s="744"/>
      <c r="O7" s="744"/>
    </row>
    <row r="8" spans="1:15" ht="12.75" customHeight="1">
      <c r="A8" s="744" t="s">
        <v>1</v>
      </c>
      <c r="B8" s="744"/>
      <c r="C8" s="744"/>
      <c r="D8" s="744"/>
      <c r="E8" s="744"/>
      <c r="F8" s="744"/>
      <c r="G8" s="744"/>
      <c r="H8" s="744"/>
      <c r="I8" s="744"/>
      <c r="J8" s="744"/>
      <c r="K8" s="744"/>
      <c r="L8" s="744"/>
      <c r="M8" s="744"/>
      <c r="N8" s="744"/>
      <c r="O8" s="744"/>
    </row>
    <row r="9" spans="1:15" ht="12.75" customHeight="1">
      <c r="A9" s="744" t="s">
        <v>2</v>
      </c>
      <c r="B9" s="744"/>
      <c r="C9" s="744"/>
      <c r="D9" s="744"/>
      <c r="E9" s="744"/>
      <c r="F9" s="744"/>
      <c r="G9" s="744"/>
      <c r="H9" s="744"/>
      <c r="I9" s="744"/>
      <c r="J9" s="744"/>
      <c r="K9" s="744"/>
      <c r="L9" s="744"/>
      <c r="M9" s="744"/>
      <c r="N9" s="744"/>
      <c r="O9" s="744"/>
    </row>
    <row r="10" spans="1:15" ht="12.75" customHeight="1">
      <c r="A10" s="744" t="s">
        <v>3</v>
      </c>
      <c r="B10" s="744"/>
      <c r="C10" s="744"/>
      <c r="D10" s="744"/>
      <c r="E10" s="744"/>
      <c r="F10" s="744"/>
      <c r="G10" s="744"/>
      <c r="H10" s="744"/>
      <c r="I10" s="744"/>
      <c r="J10" s="744"/>
      <c r="K10" s="744"/>
      <c r="L10" s="744"/>
      <c r="M10" s="744"/>
      <c r="N10" s="744"/>
      <c r="O10" s="744"/>
    </row>
    <row r="11" spans="1:15" ht="12.75" customHeight="1">
      <c r="A11" s="744" t="s">
        <v>1654</v>
      </c>
      <c r="B11" s="744"/>
      <c r="C11" s="744"/>
      <c r="D11" s="744"/>
      <c r="E11" s="744"/>
      <c r="F11" s="744"/>
      <c r="G11" s="744"/>
      <c r="H11" s="744"/>
      <c r="I11" s="744"/>
      <c r="J11" s="744"/>
      <c r="K11" s="744"/>
      <c r="L11" s="744"/>
      <c r="M11" s="744"/>
      <c r="N11" s="744"/>
      <c r="O11" s="744"/>
    </row>
    <row r="12" spans="1:15" ht="12.75" customHeight="1">
      <c r="A12" s="49"/>
      <c r="B12" s="52"/>
      <c r="C12" s="52"/>
      <c r="D12" s="52"/>
      <c r="E12" s="52"/>
      <c r="F12" s="52"/>
      <c r="G12" s="52"/>
      <c r="I12" s="5"/>
      <c r="J12" s="5"/>
      <c r="K12" s="5"/>
      <c r="L12" s="5"/>
      <c r="M12" s="5"/>
      <c r="N12" s="5"/>
      <c r="O12" s="51"/>
    </row>
    <row r="13" spans="1:15" ht="12.75" customHeight="1">
      <c r="A13" s="53"/>
      <c r="B13" s="5"/>
      <c r="I13" s="5"/>
      <c r="J13" s="5"/>
      <c r="K13" s="5"/>
      <c r="L13" s="5"/>
      <c r="M13" s="5"/>
      <c r="N13" s="5"/>
      <c r="O13" s="51"/>
    </row>
    <row r="14" spans="1:15" ht="15" customHeight="1">
      <c r="A14" s="745" t="s">
        <v>627</v>
      </c>
      <c r="B14" s="745"/>
      <c r="C14" s="745"/>
      <c r="D14" s="745"/>
      <c r="E14" s="745"/>
      <c r="F14" s="745"/>
      <c r="G14" s="745"/>
      <c r="H14" s="745"/>
      <c r="I14" s="745"/>
      <c r="J14" s="745"/>
      <c r="K14" s="745"/>
      <c r="L14" s="745"/>
      <c r="M14" s="745"/>
      <c r="N14" s="745"/>
      <c r="O14" s="745"/>
    </row>
    <row r="15" spans="1:15" ht="15" customHeight="1">
      <c r="A15" s="512"/>
      <c r="B15" s="54" t="s">
        <v>628</v>
      </c>
      <c r="C15" s="54" t="s">
        <v>629</v>
      </c>
      <c r="D15" s="746" t="s">
        <v>630</v>
      </c>
      <c r="E15" s="746"/>
      <c r="F15" s="746" t="s">
        <v>631</v>
      </c>
      <c r="G15" s="746"/>
      <c r="H15" s="746" t="s">
        <v>632</v>
      </c>
      <c r="I15" s="746"/>
      <c r="J15" s="746" t="s">
        <v>633</v>
      </c>
      <c r="K15" s="746"/>
      <c r="L15" s="746" t="s">
        <v>634</v>
      </c>
      <c r="M15" s="746"/>
      <c r="N15" s="746" t="s">
        <v>635</v>
      </c>
      <c r="O15" s="747"/>
    </row>
    <row r="16" spans="1:15" s="57" customFormat="1" ht="15" customHeight="1">
      <c r="A16" s="55"/>
      <c r="B16" s="56"/>
      <c r="C16" s="56"/>
      <c r="D16" s="56" t="s">
        <v>636</v>
      </c>
      <c r="E16" s="56" t="s">
        <v>629</v>
      </c>
      <c r="F16" s="56" t="s">
        <v>636</v>
      </c>
      <c r="G16" s="56" t="s">
        <v>629</v>
      </c>
      <c r="H16" s="56" t="s">
        <v>636</v>
      </c>
      <c r="I16" s="56" t="s">
        <v>629</v>
      </c>
      <c r="J16" s="56" t="s">
        <v>636</v>
      </c>
      <c r="K16" s="56" t="s">
        <v>629</v>
      </c>
      <c r="L16" s="56" t="s">
        <v>636</v>
      </c>
      <c r="M16" s="56" t="s">
        <v>629</v>
      </c>
      <c r="N16" s="56" t="s">
        <v>636</v>
      </c>
      <c r="O16" s="688" t="s">
        <v>629</v>
      </c>
    </row>
    <row r="17" spans="1:15" s="57" customFormat="1" ht="15" customHeight="1">
      <c r="A17" s="55"/>
      <c r="B17" s="56"/>
      <c r="C17" s="56"/>
      <c r="D17" s="58"/>
      <c r="E17" s="58"/>
      <c r="F17" s="56"/>
      <c r="G17" s="56"/>
      <c r="H17" s="56"/>
      <c r="I17" s="56"/>
      <c r="J17" s="56"/>
      <c r="K17" s="56"/>
      <c r="L17" s="56"/>
      <c r="M17" s="56"/>
      <c r="N17" s="56"/>
      <c r="O17" s="688"/>
    </row>
    <row r="18" spans="1:16" ht="15.75">
      <c r="A18" s="59" t="str">
        <f>'ADITIVO - PLANILHA ORÇAMETARIA '!D12</f>
        <v>PROJETOS</v>
      </c>
      <c r="B18" s="60">
        <f>'ADITIVO - PLANILHA ORÇAMETARIA '!H12</f>
        <v>575.42</v>
      </c>
      <c r="C18" s="3">
        <f>CRONOGRAMA!B18/CRONOGRAMA!$B$46</f>
        <v>0.0008102654045158713</v>
      </c>
      <c r="D18" s="60">
        <f>CRONOGRAMA!E18*CRONOGRAMA!$B18</f>
        <v>575.42</v>
      </c>
      <c r="E18" s="3">
        <v>1</v>
      </c>
      <c r="F18" s="60">
        <f>CRONOGRAMA!G18*CRONOGRAMA!$B18</f>
        <v>0</v>
      </c>
      <c r="G18" s="3"/>
      <c r="H18" s="60">
        <f>CRONOGRAMA!I18*CRONOGRAMA!$B18</f>
        <v>0</v>
      </c>
      <c r="I18" s="3"/>
      <c r="J18" s="60">
        <f>CRONOGRAMA!K18*CRONOGRAMA!$B18</f>
        <v>0</v>
      </c>
      <c r="K18" s="3"/>
      <c r="L18" s="60">
        <f>CRONOGRAMA!M18*CRONOGRAMA!$B18</f>
        <v>0</v>
      </c>
      <c r="M18" s="3"/>
      <c r="N18" s="60">
        <f>CRONOGRAMA!O18*CRONOGRAMA!$B18</f>
        <v>0</v>
      </c>
      <c r="O18" s="689"/>
      <c r="P18" s="61">
        <f>CRONOGRAMA!O18+CRONOGRAMA!M18+CRONOGRAMA!K18+CRONOGRAMA!I18+CRONOGRAMA!G18+CRONOGRAMA!E18</f>
        <v>1</v>
      </c>
    </row>
    <row r="19" spans="1:15" s="57" customFormat="1" ht="14.25" customHeight="1">
      <c r="A19" s="62"/>
      <c r="B19" s="63"/>
      <c r="C19" s="3"/>
      <c r="D19" s="64"/>
      <c r="E19" s="65"/>
      <c r="F19" s="64"/>
      <c r="G19" s="65"/>
      <c r="H19" s="64"/>
      <c r="I19" s="65"/>
      <c r="J19" s="64"/>
      <c r="K19" s="65"/>
      <c r="L19" s="64"/>
      <c r="M19" s="65"/>
      <c r="N19" s="64"/>
      <c r="O19" s="690"/>
    </row>
    <row r="20" spans="1:16" s="57" customFormat="1" ht="24">
      <c r="A20" s="59" t="str">
        <f>'ADITIVO - PLANILHA ORÇAMETARIA '!D15</f>
        <v>SERVIÇOS PRELIMINARES/TÉCNICOS</v>
      </c>
      <c r="B20" s="60">
        <f>'ADITIVO - PLANILHA ORÇAMETARIA '!H15</f>
        <v>39868.45</v>
      </c>
      <c r="C20" s="3">
        <f>CRONOGRAMA!B20/CRONOGRAMA!$B$46</f>
        <v>0.05613990783544331</v>
      </c>
      <c r="D20" s="60">
        <f>CRONOGRAMA!E20*CRONOGRAMA!$B20</f>
        <v>34884.893749999996</v>
      </c>
      <c r="E20" s="3">
        <v>0.875</v>
      </c>
      <c r="F20" s="60">
        <f>CRONOGRAMA!G20*CRONOGRAMA!$B20</f>
        <v>996.71125</v>
      </c>
      <c r="G20" s="3">
        <v>0.025</v>
      </c>
      <c r="H20" s="60">
        <f>CRONOGRAMA!I20*CRONOGRAMA!$B20</f>
        <v>996.71125</v>
      </c>
      <c r="I20" s="3">
        <v>0.025</v>
      </c>
      <c r="J20" s="60">
        <f>CRONOGRAMA!K20*CRONOGRAMA!$B20</f>
        <v>996.71125</v>
      </c>
      <c r="K20" s="3">
        <v>0.025</v>
      </c>
      <c r="L20" s="60">
        <f>CRONOGRAMA!M20*CRONOGRAMA!$B20</f>
        <v>996.71125</v>
      </c>
      <c r="M20" s="3">
        <v>0.025</v>
      </c>
      <c r="N20" s="60">
        <f>CRONOGRAMA!O20*CRONOGRAMA!$B20</f>
        <v>996.71125</v>
      </c>
      <c r="O20" s="689">
        <v>0.025</v>
      </c>
      <c r="P20" s="61">
        <f>CRONOGRAMA!O20+CRONOGRAMA!M20+CRONOGRAMA!K20+CRONOGRAMA!I20+CRONOGRAMA!G20+CRONOGRAMA!E20</f>
        <v>1</v>
      </c>
    </row>
    <row r="21" spans="1:15" s="57" customFormat="1" ht="14.25" customHeight="1">
      <c r="A21" s="66"/>
      <c r="B21" s="67"/>
      <c r="C21" s="3"/>
      <c r="D21" s="64"/>
      <c r="E21" s="65"/>
      <c r="F21" s="60"/>
      <c r="G21" s="3"/>
      <c r="H21" s="60"/>
      <c r="I21" s="3"/>
      <c r="J21" s="60"/>
      <c r="K21" s="3"/>
      <c r="L21" s="60"/>
      <c r="M21" s="3"/>
      <c r="N21" s="60"/>
      <c r="O21" s="689"/>
    </row>
    <row r="22" spans="1:16" s="57" customFormat="1" ht="14.25" customHeight="1">
      <c r="A22" s="59" t="str">
        <f>'ADITIVO - PLANILHA ORÇAMETARIA '!D41</f>
        <v>INFRAESTRUTURA</v>
      </c>
      <c r="B22" s="60">
        <f>'ADITIVO - PLANILHA ORÇAMETARIA '!H41</f>
        <v>977.01</v>
      </c>
      <c r="C22" s="3">
        <f>B22/B46</f>
        <v>0.0013757558007473697</v>
      </c>
      <c r="D22" s="60">
        <f>CRONOGRAMA!E22*CRONOGRAMA!$B22</f>
        <v>977.01</v>
      </c>
      <c r="E22" s="3">
        <v>1</v>
      </c>
      <c r="F22" s="60">
        <f>CRONOGRAMA!G22*CRONOGRAMA!$B22</f>
        <v>0</v>
      </c>
      <c r="G22" s="3"/>
      <c r="H22" s="60">
        <f>CRONOGRAMA!I22*CRONOGRAMA!$B22</f>
        <v>0</v>
      </c>
      <c r="I22" s="3"/>
      <c r="J22" s="60">
        <f>CRONOGRAMA!K22*CRONOGRAMA!$B22</f>
        <v>0</v>
      </c>
      <c r="K22" s="3"/>
      <c r="L22" s="60">
        <f>CRONOGRAMA!M22*CRONOGRAMA!$B22</f>
        <v>0</v>
      </c>
      <c r="M22" s="3"/>
      <c r="N22" s="60">
        <f>CRONOGRAMA!O22*CRONOGRAMA!$B22</f>
        <v>0</v>
      </c>
      <c r="O22" s="689"/>
      <c r="P22" s="61">
        <f>CRONOGRAMA!O22+CRONOGRAMA!M22+CRONOGRAMA!K22+CRONOGRAMA!I22+CRONOGRAMA!G22+CRONOGRAMA!E22</f>
        <v>1</v>
      </c>
    </row>
    <row r="23" spans="1:15" s="57" customFormat="1" ht="14.25" customHeight="1">
      <c r="A23" s="66"/>
      <c r="B23" s="67"/>
      <c r="C23" s="3"/>
      <c r="D23" s="64"/>
      <c r="E23" s="65"/>
      <c r="F23" s="64"/>
      <c r="G23" s="65"/>
      <c r="H23" s="64"/>
      <c r="I23" s="65"/>
      <c r="J23" s="60"/>
      <c r="K23" s="3"/>
      <c r="L23" s="60"/>
      <c r="M23" s="3"/>
      <c r="N23" s="60"/>
      <c r="O23" s="689"/>
    </row>
    <row r="24" spans="1:16" s="57" customFormat="1" ht="15.75">
      <c r="A24" s="59" t="str">
        <f>'ADITIVO - PLANILHA ORÇAMETARIA '!D48</f>
        <v>SUPERESTRUTURA</v>
      </c>
      <c r="B24" s="60">
        <f>'ADITIVO - PLANILHA ORÇAMETARIA '!H48</f>
        <v>163803.41</v>
      </c>
      <c r="C24" s="3">
        <f>CRONOGRAMA!B24/CRONOGRAMA!$B$46</f>
        <v>0.23065627935200225</v>
      </c>
      <c r="D24" s="60">
        <f>CRONOGRAMA!E24*CRONOGRAMA!$B24</f>
        <v>40950.8525</v>
      </c>
      <c r="E24" s="3">
        <v>0.25</v>
      </c>
      <c r="F24" s="60">
        <f>CRONOGRAMA!G24*CRONOGRAMA!$B24</f>
        <v>81901.705</v>
      </c>
      <c r="G24" s="3">
        <v>0.5</v>
      </c>
      <c r="H24" s="60">
        <f>CRONOGRAMA!I24*CRONOGRAMA!$B24</f>
        <v>40950.8525</v>
      </c>
      <c r="I24" s="3">
        <v>0.25</v>
      </c>
      <c r="J24" s="60">
        <f>CRONOGRAMA!K24*CRONOGRAMA!$B24</f>
        <v>0</v>
      </c>
      <c r="K24" s="3"/>
      <c r="L24" s="60">
        <f>CRONOGRAMA!M24*CRONOGRAMA!$B24</f>
        <v>0</v>
      </c>
      <c r="M24" s="3"/>
      <c r="N24" s="60">
        <f>CRONOGRAMA!O24*CRONOGRAMA!$B24</f>
        <v>0</v>
      </c>
      <c r="O24" s="689"/>
      <c r="P24" s="61">
        <f>CRONOGRAMA!O24+CRONOGRAMA!M24+CRONOGRAMA!K24+CRONOGRAMA!I24+CRONOGRAMA!G24+CRONOGRAMA!E24</f>
        <v>1</v>
      </c>
    </row>
    <row r="25" spans="1:15" s="57" customFormat="1" ht="14.25" customHeight="1">
      <c r="A25" s="66"/>
      <c r="B25" s="67"/>
      <c r="C25" s="3"/>
      <c r="D25" s="60"/>
      <c r="E25" s="3"/>
      <c r="F25" s="64"/>
      <c r="G25" s="65"/>
      <c r="H25" s="64"/>
      <c r="I25" s="65"/>
      <c r="J25" s="64"/>
      <c r="K25" s="65"/>
      <c r="L25" s="64"/>
      <c r="M25" s="65"/>
      <c r="N25" s="64"/>
      <c r="O25" s="690"/>
    </row>
    <row r="26" spans="1:16" ht="15.75">
      <c r="A26" s="59" t="str">
        <f>'ADITIVO - PLANILHA ORÇAMETARIA '!D73</f>
        <v>INSTALAÇÕES ELÉTRICAS</v>
      </c>
      <c r="B26" s="60">
        <f>'ADITIVO - PLANILHA ORÇAMETARIA '!H73</f>
        <v>85330.54</v>
      </c>
      <c r="C26" s="3">
        <f>CRONOGRAMA!B26/CRONOGRAMA!$B$46</f>
        <v>0.12015638057533234</v>
      </c>
      <c r="D26" s="60">
        <f>CRONOGRAMA!E26*CRONOGRAMA!$B26</f>
        <v>0</v>
      </c>
      <c r="E26" s="3"/>
      <c r="F26" s="60">
        <f>CRONOGRAMA!G26*CRONOGRAMA!$B26</f>
        <v>25599.161999999997</v>
      </c>
      <c r="G26" s="3">
        <v>0.3</v>
      </c>
      <c r="H26" s="60">
        <f>CRONOGRAMA!I26*CRONOGRAMA!$B26</f>
        <v>25599.161999999997</v>
      </c>
      <c r="I26" s="3">
        <v>0.3</v>
      </c>
      <c r="J26" s="60">
        <f>CRONOGRAMA!K26*CRONOGRAMA!$B26</f>
        <v>17066.108</v>
      </c>
      <c r="K26" s="3">
        <v>0.2</v>
      </c>
      <c r="L26" s="60">
        <f>CRONOGRAMA!M26*CRONOGRAMA!$B26</f>
        <v>8533.054</v>
      </c>
      <c r="M26" s="3">
        <v>0.1</v>
      </c>
      <c r="N26" s="60">
        <f>CRONOGRAMA!O26*CRONOGRAMA!$B26</f>
        <v>8533.054</v>
      </c>
      <c r="O26" s="689">
        <v>0.1</v>
      </c>
      <c r="P26" s="61">
        <f>CRONOGRAMA!O26+CRONOGRAMA!M26+CRONOGRAMA!K26+CRONOGRAMA!I26+CRONOGRAMA!G26+CRONOGRAMA!E26</f>
        <v>1</v>
      </c>
    </row>
    <row r="27" spans="1:15" s="57" customFormat="1" ht="14.25" customHeight="1">
      <c r="A27" s="66"/>
      <c r="B27" s="67"/>
      <c r="C27" s="3"/>
      <c r="D27" s="60"/>
      <c r="E27" s="3"/>
      <c r="F27" s="64"/>
      <c r="G27" s="65"/>
      <c r="H27" s="64"/>
      <c r="I27" s="65"/>
      <c r="J27" s="60"/>
      <c r="K27" s="3"/>
      <c r="L27" s="60"/>
      <c r="M27" s="3"/>
      <c r="N27" s="60"/>
      <c r="O27" s="689"/>
    </row>
    <row r="28" spans="1:16" ht="24">
      <c r="A28" s="59" t="str">
        <f>'ADITIVO - PLANILHA ORÇAMETARIA '!D120</f>
        <v>INSTALAÇÕES HIDRÁULICAS E SANITÁRIAS</v>
      </c>
      <c r="B28" s="60">
        <f>'ADITIVO - PLANILHA ORÇAMETARIA '!H120</f>
        <v>45019.92</v>
      </c>
      <c r="C28" s="3">
        <f>CRONOGRAMA!B28/CRONOGRAMA!$B$46</f>
        <v>0.06339384048186049</v>
      </c>
      <c r="D28" s="60">
        <f>CRONOGRAMA!E28*CRONOGRAMA!$B28</f>
        <v>0</v>
      </c>
      <c r="E28" s="3"/>
      <c r="F28" s="60">
        <f>CRONOGRAMA!G28*CRONOGRAMA!$B28</f>
        <v>22509.96</v>
      </c>
      <c r="G28" s="3">
        <v>0.5</v>
      </c>
      <c r="H28" s="60">
        <f>CRONOGRAMA!I28*CRONOGRAMA!$B28</f>
        <v>22509.96</v>
      </c>
      <c r="I28" s="3">
        <v>0.5</v>
      </c>
      <c r="J28" s="60">
        <f>CRONOGRAMA!K28*CRONOGRAMA!$B28</f>
        <v>0</v>
      </c>
      <c r="K28" s="3"/>
      <c r="L28" s="60">
        <f>CRONOGRAMA!M28*CRONOGRAMA!$B28</f>
        <v>0</v>
      </c>
      <c r="M28" s="3"/>
      <c r="N28" s="60">
        <f>CRONOGRAMA!O28*CRONOGRAMA!$B28</f>
        <v>0</v>
      </c>
      <c r="O28" s="689"/>
      <c r="P28" s="61">
        <f>CRONOGRAMA!O28+CRONOGRAMA!M28+CRONOGRAMA!K28+CRONOGRAMA!I28+CRONOGRAMA!G28+CRONOGRAMA!E28</f>
        <v>1</v>
      </c>
    </row>
    <row r="29" spans="1:15" s="57" customFormat="1" ht="14.25" customHeight="1">
      <c r="A29" s="66"/>
      <c r="B29" s="67"/>
      <c r="C29" s="3"/>
      <c r="D29" s="60"/>
      <c r="E29" s="3"/>
      <c r="F29" s="64"/>
      <c r="G29" s="65"/>
      <c r="H29" s="60"/>
      <c r="I29" s="3"/>
      <c r="J29" s="60"/>
      <c r="K29" s="3"/>
      <c r="L29" s="60"/>
      <c r="M29" s="3"/>
      <c r="N29" s="60"/>
      <c r="O29" s="689"/>
    </row>
    <row r="30" spans="1:16" ht="15.75">
      <c r="A30" s="59" t="str">
        <f>'ADITIVO - PLANILHA ORÇAMETARIA '!D158</f>
        <v>ALVENARIA</v>
      </c>
      <c r="B30" s="60">
        <f>'ADITIVO - PLANILHA ORÇAMETARIA '!H158</f>
        <v>1031.2</v>
      </c>
      <c r="C30" s="3">
        <f>CRONOGRAMA!B30/CRONOGRAMA!$B$46</f>
        <v>0.0014520622938666828</v>
      </c>
      <c r="D30" s="60">
        <f>CRONOGRAMA!E30*CRONOGRAMA!$B30</f>
        <v>0</v>
      </c>
      <c r="E30" s="3"/>
      <c r="F30" s="60">
        <f>CRONOGRAMA!G30*CRONOGRAMA!$B30</f>
        <v>1031.2</v>
      </c>
      <c r="G30" s="3">
        <v>1</v>
      </c>
      <c r="H30" s="60">
        <f>CRONOGRAMA!I30*CRONOGRAMA!$B30</f>
        <v>0</v>
      </c>
      <c r="I30" s="3"/>
      <c r="J30" s="60">
        <f>CRONOGRAMA!K30*CRONOGRAMA!$B30</f>
        <v>0</v>
      </c>
      <c r="K30" s="3"/>
      <c r="L30" s="60">
        <f>CRONOGRAMA!M30*CRONOGRAMA!$B30</f>
        <v>0</v>
      </c>
      <c r="M30" s="3"/>
      <c r="N30" s="60">
        <f>CRONOGRAMA!O30*CRONOGRAMA!$B30</f>
        <v>0</v>
      </c>
      <c r="O30" s="689"/>
      <c r="P30" s="61">
        <f>CRONOGRAMA!O30+CRONOGRAMA!M30+CRONOGRAMA!K30+CRONOGRAMA!I30+CRONOGRAMA!G30+CRONOGRAMA!E30</f>
        <v>1</v>
      </c>
    </row>
    <row r="31" spans="1:15" s="57" customFormat="1" ht="14.25" customHeight="1">
      <c r="A31" s="66"/>
      <c r="B31" s="67"/>
      <c r="C31" s="3"/>
      <c r="D31" s="60"/>
      <c r="E31" s="3"/>
      <c r="F31" s="60"/>
      <c r="G31" s="3"/>
      <c r="H31" s="64"/>
      <c r="I31" s="65"/>
      <c r="J31" s="64"/>
      <c r="K31" s="65"/>
      <c r="L31" s="64"/>
      <c r="M31" s="65"/>
      <c r="N31" s="60"/>
      <c r="O31" s="689"/>
    </row>
    <row r="32" spans="1:16" ht="15.75">
      <c r="A32" s="59" t="str">
        <f>'ADITIVO - PLANILHA ORÇAMETARIA '!D163</f>
        <v>REVESTIMENTO</v>
      </c>
      <c r="B32" s="60">
        <f>'ADITIVO - PLANILHA ORÇAMETARIA '!H163</f>
        <v>97536.31</v>
      </c>
      <c r="C32" s="3">
        <f>CRONOGRAMA!B32/CRONOGRAMA!$B$46</f>
        <v>0.13734367536257938</v>
      </c>
      <c r="D32" s="60">
        <f>CRONOGRAMA!E32*CRONOGRAMA!$B32</f>
        <v>0</v>
      </c>
      <c r="E32" s="3"/>
      <c r="F32" s="60">
        <f>CRONOGRAMA!G32*CRONOGRAMA!$B32</f>
        <v>0</v>
      </c>
      <c r="G32" s="3"/>
      <c r="H32" s="60">
        <f>CRONOGRAMA!I32*CRONOGRAMA!$B32</f>
        <v>24384.0775</v>
      </c>
      <c r="I32" s="3">
        <v>0.25</v>
      </c>
      <c r="J32" s="60">
        <f>CRONOGRAMA!K32*CRONOGRAMA!$B32</f>
        <v>48768.155</v>
      </c>
      <c r="K32" s="3">
        <v>0.5</v>
      </c>
      <c r="L32" s="60">
        <f>CRONOGRAMA!M32*CRONOGRAMA!$B32</f>
        <v>24384.0775</v>
      </c>
      <c r="M32" s="3">
        <v>0.25</v>
      </c>
      <c r="N32" s="60">
        <f>CRONOGRAMA!O32*CRONOGRAMA!$B32</f>
        <v>0</v>
      </c>
      <c r="O32" s="689"/>
      <c r="P32" s="61">
        <f>CRONOGRAMA!O32+CRONOGRAMA!M32+CRONOGRAMA!K32+CRONOGRAMA!I32+CRONOGRAMA!G32+CRONOGRAMA!E32</f>
        <v>1</v>
      </c>
    </row>
    <row r="33" spans="1:15" s="57" customFormat="1" ht="15.75">
      <c r="A33" s="66"/>
      <c r="B33" s="67"/>
      <c r="C33" s="3"/>
      <c r="D33" s="60"/>
      <c r="E33" s="3"/>
      <c r="F33" s="60"/>
      <c r="G33" s="3"/>
      <c r="H33" s="60"/>
      <c r="I33" s="3"/>
      <c r="J33" s="60"/>
      <c r="K33" s="3"/>
      <c r="L33" s="60"/>
      <c r="M33" s="3"/>
      <c r="N33" s="64"/>
      <c r="O33" s="690"/>
    </row>
    <row r="34" spans="1:16" ht="15.75">
      <c r="A34" s="59" t="str">
        <f>'ADITIVO - PLANILHA ORÇAMETARIA '!D177</f>
        <v>PINTURA</v>
      </c>
      <c r="B34" s="60">
        <f>'ADITIVO - PLANILHA ORÇAMETARIA '!H177</f>
        <v>13105.15</v>
      </c>
      <c r="C34" s="3">
        <f>CRONOGRAMA!B34/CRONOGRAMA!$B$46</f>
        <v>0.018453737558637467</v>
      </c>
      <c r="D34" s="60">
        <f>CRONOGRAMA!E34*CRONOGRAMA!$B34</f>
        <v>0</v>
      </c>
      <c r="E34" s="3"/>
      <c r="F34" s="60">
        <f>CRONOGRAMA!G34*CRONOGRAMA!$B34</f>
        <v>0</v>
      </c>
      <c r="G34" s="3"/>
      <c r="H34" s="60">
        <f>CRONOGRAMA!I34*CRONOGRAMA!$B34</f>
        <v>0</v>
      </c>
      <c r="I34" s="3"/>
      <c r="J34" s="60">
        <f>CRONOGRAMA!K34*CRONOGRAMA!$B34</f>
        <v>0</v>
      </c>
      <c r="K34" s="3"/>
      <c r="L34" s="60">
        <f>CRONOGRAMA!M34*CRONOGRAMA!$B34</f>
        <v>0</v>
      </c>
      <c r="M34" s="3"/>
      <c r="N34" s="60">
        <f>CRONOGRAMA!O34*CRONOGRAMA!$B34</f>
        <v>13105.15</v>
      </c>
      <c r="O34" s="689">
        <v>1</v>
      </c>
      <c r="P34" s="61">
        <f>CRONOGRAMA!O34+CRONOGRAMA!M34+CRONOGRAMA!K34+CRONOGRAMA!I34+CRONOGRAMA!G34+CRONOGRAMA!E34</f>
        <v>1</v>
      </c>
    </row>
    <row r="35" spans="1:15" s="57" customFormat="1" ht="15.75">
      <c r="A35" s="66"/>
      <c r="B35" s="67"/>
      <c r="C35" s="3"/>
      <c r="D35" s="60"/>
      <c r="E35" s="3"/>
      <c r="F35" s="60"/>
      <c r="G35" s="3"/>
      <c r="H35" s="60"/>
      <c r="I35" s="3"/>
      <c r="J35" s="60"/>
      <c r="K35" s="3"/>
      <c r="L35" s="60"/>
      <c r="M35" s="3"/>
      <c r="N35" s="60"/>
      <c r="O35" s="689"/>
    </row>
    <row r="36" spans="1:16" ht="24">
      <c r="A36" s="59" t="str">
        <f>'ADITIVO - PLANILHA ORÇAMETARIA '!D182</f>
        <v>SERVIÇOS COMPLEMENTARES</v>
      </c>
      <c r="B36" s="60">
        <f>'ADITIVO - PLANILHA ORÇAMETARIA '!H182</f>
        <v>22930.96</v>
      </c>
      <c r="C36" s="3">
        <f>CRONOGRAMA!B36/CRONOGRAMA!$B$46</f>
        <v>0.03228974241482268</v>
      </c>
      <c r="D36" s="60">
        <f>CRONOGRAMA!E36*CRONOGRAMA!$B36</f>
        <v>687.9287999999999</v>
      </c>
      <c r="E36" s="3">
        <v>0.03</v>
      </c>
      <c r="F36" s="60">
        <f>CRONOGRAMA!G36*CRONOGRAMA!$B36</f>
        <v>687.9287999999999</v>
      </c>
      <c r="G36" s="3">
        <v>0.03</v>
      </c>
      <c r="H36" s="60">
        <f>CRONOGRAMA!I36*CRONOGRAMA!$B36</f>
        <v>4586.192</v>
      </c>
      <c r="I36" s="3">
        <v>0.2</v>
      </c>
      <c r="J36" s="60">
        <f>CRONOGRAMA!K36*CRONOGRAMA!$B36</f>
        <v>4356.8823999999995</v>
      </c>
      <c r="K36" s="3">
        <v>0.19</v>
      </c>
      <c r="L36" s="60">
        <f>CRONOGRAMA!M36*CRONOGRAMA!$B36</f>
        <v>5732.74</v>
      </c>
      <c r="M36" s="3">
        <v>0.25</v>
      </c>
      <c r="N36" s="60">
        <f>CRONOGRAMA!O36*CRONOGRAMA!$B36</f>
        <v>6879.288</v>
      </c>
      <c r="O36" s="689">
        <v>0.3</v>
      </c>
      <c r="P36" s="61">
        <f>CRONOGRAMA!O36+CRONOGRAMA!M36+CRONOGRAMA!K36+CRONOGRAMA!I36+CRONOGRAMA!G36+CRONOGRAMA!E36</f>
        <v>1</v>
      </c>
    </row>
    <row r="37" spans="1:15" s="57" customFormat="1" ht="14.25" customHeight="1">
      <c r="A37" s="66"/>
      <c r="B37" s="67"/>
      <c r="C37" s="3"/>
      <c r="D37" s="64"/>
      <c r="E37" s="65"/>
      <c r="F37" s="64"/>
      <c r="G37" s="65"/>
      <c r="H37" s="64"/>
      <c r="I37" s="65"/>
      <c r="J37" s="64"/>
      <c r="K37" s="65"/>
      <c r="L37" s="64"/>
      <c r="M37" s="65"/>
      <c r="N37" s="64"/>
      <c r="O37" s="690"/>
    </row>
    <row r="38" spans="1:17" ht="15.75">
      <c r="A38" s="59" t="str">
        <f>'ADITIVO - PLANILHA ORÇAMETARIA '!D196</f>
        <v>GERENCIAMENTO DE OBRA</v>
      </c>
      <c r="B38" s="60">
        <f>'ADITIVO - PLANILHA ORÇAMETARIA '!H196</f>
        <v>71519.94</v>
      </c>
      <c r="C38" s="3">
        <f>CRONOGRAMA!B38/CRONOGRAMA!$B$46</f>
        <v>0.10070927864003833</v>
      </c>
      <c r="D38" s="60">
        <f>CRONOGRAMA!E38*CRONOGRAMA!$B38</f>
        <v>7595.417628</v>
      </c>
      <c r="E38" s="3">
        <v>0.1062</v>
      </c>
      <c r="F38" s="60">
        <f>CRONOGRAMA!G38*CRONOGRAMA!$B38</f>
        <v>23308.348446000004</v>
      </c>
      <c r="G38" s="3">
        <v>0.3259</v>
      </c>
      <c r="H38" s="60">
        <f>CRONOGRAMA!I38*CRONOGRAMA!$B38</f>
        <v>20089.951146</v>
      </c>
      <c r="I38" s="3">
        <v>0.2809</v>
      </c>
      <c r="J38" s="60">
        <f>CRONOGRAMA!K38*CRONOGRAMA!$B38</f>
        <v>7917.257358000001</v>
      </c>
      <c r="K38" s="3">
        <v>0.1107</v>
      </c>
      <c r="L38" s="60">
        <f>CRONOGRAMA!M38*CRONOGRAMA!$B38</f>
        <v>7509.5937</v>
      </c>
      <c r="M38" s="3">
        <v>0.105</v>
      </c>
      <c r="N38" s="60">
        <f>CRONOGRAMA!O38*CRONOGRAMA!$B38</f>
        <v>5099.371722000001</v>
      </c>
      <c r="O38" s="689">
        <v>0.0713</v>
      </c>
      <c r="P38" s="61">
        <f>CRONOGRAMA!O38+CRONOGRAMA!M38+CRONOGRAMA!K38+CRONOGRAMA!I38+CRONOGRAMA!G38+CRONOGRAMA!E38</f>
        <v>1.0000000000000002</v>
      </c>
      <c r="Q38" s="61"/>
    </row>
    <row r="39" spans="1:15" s="57" customFormat="1" ht="14.25" customHeight="1">
      <c r="A39" s="66"/>
      <c r="B39" s="67"/>
      <c r="C39" s="3"/>
      <c r="D39" s="60"/>
      <c r="E39" s="3"/>
      <c r="F39" s="64"/>
      <c r="G39" s="65"/>
      <c r="H39" s="64"/>
      <c r="I39" s="65"/>
      <c r="J39" s="60"/>
      <c r="K39" s="3"/>
      <c r="L39" s="60"/>
      <c r="M39" s="3"/>
      <c r="N39" s="60"/>
      <c r="O39" s="689"/>
    </row>
    <row r="40" spans="1:16" ht="15.75">
      <c r="A40" s="59" t="str">
        <f>'ADITIVO - PLANILHA ORÇAMETARIA '!D199</f>
        <v>IMPERMEABILIZAÇÃO</v>
      </c>
      <c r="B40" s="60">
        <f>'ADITIVO - PLANILHA ORÇAMETARIA '!H199</f>
        <v>75003.14</v>
      </c>
      <c r="C40" s="3">
        <f>CRONOGRAMA!B40/CRONOGRAMA!$B$46</f>
        <v>0.1056140724550077</v>
      </c>
      <c r="D40" s="60">
        <f>CRONOGRAMA!E40*CRONOGRAMA!$B40</f>
        <v>0</v>
      </c>
      <c r="E40" s="3"/>
      <c r="F40" s="60">
        <f>CRONOGRAMA!G40*CRONOGRAMA!$B40</f>
        <v>45001.884</v>
      </c>
      <c r="G40" s="3">
        <v>0.6</v>
      </c>
      <c r="H40" s="60">
        <f>CRONOGRAMA!I40*CRONOGRAMA!$B40</f>
        <v>30001.256</v>
      </c>
      <c r="I40" s="3">
        <v>0.4</v>
      </c>
      <c r="J40" s="60">
        <f>CRONOGRAMA!K40*CRONOGRAMA!$B40</f>
        <v>0</v>
      </c>
      <c r="K40" s="3"/>
      <c r="L40" s="60">
        <f>CRONOGRAMA!M40*CRONOGRAMA!$B40</f>
        <v>0</v>
      </c>
      <c r="M40" s="3"/>
      <c r="N40" s="60">
        <f>CRONOGRAMA!O40*CRONOGRAMA!$B40</f>
        <v>0</v>
      </c>
      <c r="O40" s="689"/>
      <c r="P40" s="61">
        <f>CRONOGRAMA!O40+CRONOGRAMA!M40+CRONOGRAMA!K40+CRONOGRAMA!I40+CRONOGRAMA!G40+CRONOGRAMA!E40</f>
        <v>1</v>
      </c>
    </row>
    <row r="41" spans="1:15" s="57" customFormat="1" ht="14.25" customHeight="1">
      <c r="A41" s="66"/>
      <c r="B41" s="67"/>
      <c r="C41" s="3"/>
      <c r="D41" s="60"/>
      <c r="E41" s="3"/>
      <c r="F41" s="60"/>
      <c r="G41" s="3"/>
      <c r="H41" s="60"/>
      <c r="I41" s="3"/>
      <c r="J41" s="60"/>
      <c r="K41" s="3"/>
      <c r="L41" s="64"/>
      <c r="M41" s="65"/>
      <c r="N41" s="64"/>
      <c r="O41" s="690"/>
    </row>
    <row r="42" spans="1:16" ht="14.25" customHeight="1">
      <c r="A42" s="59" t="str">
        <f>'ADITIVO - PLANILHA ORÇAMETARIA '!D203</f>
        <v>EQUIPAMENTOS</v>
      </c>
      <c r="B42" s="60">
        <f>'ADITIVO - PLANILHA ORÇAMETARIA '!H203</f>
        <v>93460.92</v>
      </c>
      <c r="C42" s="3">
        <f>CRONOGRAMA!B42/CRONOGRAMA!$B$46</f>
        <v>0.13160500182514595</v>
      </c>
      <c r="D42" s="60">
        <f>CRONOGRAMA!E42*CRONOGRAMA!$B42</f>
        <v>0</v>
      </c>
      <c r="E42" s="3"/>
      <c r="F42" s="60">
        <f>CRONOGRAMA!G42*CRONOGRAMA!$B42</f>
        <v>0</v>
      </c>
      <c r="G42" s="3"/>
      <c r="H42" s="60">
        <f>CRONOGRAMA!I42*CRONOGRAMA!$B42</f>
        <v>0</v>
      </c>
      <c r="I42" s="3"/>
      <c r="J42" s="60">
        <f>CRONOGRAMA!K42*CRONOGRAMA!$B42</f>
        <v>0</v>
      </c>
      <c r="K42" s="3"/>
      <c r="L42" s="60">
        <f>CRONOGRAMA!M42*CRONOGRAMA!$B42</f>
        <v>65422.64399999999</v>
      </c>
      <c r="M42" s="3">
        <v>0.7</v>
      </c>
      <c r="N42" s="60">
        <f>CRONOGRAMA!O42*CRONOGRAMA!$B42</f>
        <v>28038.275999999998</v>
      </c>
      <c r="O42" s="689">
        <v>0.3</v>
      </c>
      <c r="P42" s="61">
        <f>CRONOGRAMA!O42+CRONOGRAMA!M42+CRONOGRAMA!K42+CRONOGRAMA!I42+CRONOGRAMA!G42+CRONOGRAMA!E42</f>
        <v>1</v>
      </c>
    </row>
    <row r="43" spans="1:15" s="57" customFormat="1" ht="14.25" customHeight="1">
      <c r="A43" s="66"/>
      <c r="B43" s="67"/>
      <c r="C43" s="3"/>
      <c r="D43" s="67"/>
      <c r="E43" s="3"/>
      <c r="F43" s="67"/>
      <c r="G43" s="3"/>
      <c r="H43" s="67"/>
      <c r="I43" s="3"/>
      <c r="J43" s="67"/>
      <c r="K43" s="3"/>
      <c r="L43" s="67"/>
      <c r="M43" s="3"/>
      <c r="N43" s="67"/>
      <c r="O43" s="689"/>
    </row>
    <row r="44" spans="1:15" s="57" customFormat="1" ht="14.25" customHeight="1">
      <c r="A44" s="66"/>
      <c r="B44" s="67"/>
      <c r="C44" s="3"/>
      <c r="D44" s="67"/>
      <c r="E44" s="3"/>
      <c r="F44" s="67"/>
      <c r="G44" s="3"/>
      <c r="H44" s="67"/>
      <c r="I44" s="3"/>
      <c r="J44" s="67"/>
      <c r="K44" s="3"/>
      <c r="L44" s="67"/>
      <c r="M44" s="3"/>
      <c r="N44" s="67"/>
      <c r="O44" s="689"/>
    </row>
    <row r="45" spans="1:15" s="57" customFormat="1" ht="14.25" customHeight="1">
      <c r="A45" s="66"/>
      <c r="B45" s="67"/>
      <c r="C45" s="3"/>
      <c r="D45" s="67"/>
      <c r="E45" s="3"/>
      <c r="F45" s="67"/>
      <c r="G45" s="3"/>
      <c r="H45" s="67"/>
      <c r="I45" s="3"/>
      <c r="J45" s="67"/>
      <c r="K45" s="3"/>
      <c r="L45" s="67"/>
      <c r="M45" s="3"/>
      <c r="N45" s="67"/>
      <c r="O45" s="689"/>
    </row>
    <row r="46" spans="1:15" ht="15" customHeight="1">
      <c r="A46" s="59" t="s">
        <v>637</v>
      </c>
      <c r="B46" s="68">
        <f>SUM(CRONOGRAMA!B16:B42)</f>
        <v>710162.3700000001</v>
      </c>
      <c r="C46" s="748">
        <f>SUM(CRONOGRAMA!C16:C42)</f>
        <v>0.9999999999999998</v>
      </c>
      <c r="D46" s="68">
        <f>SUM(CRONOGRAMA!D16:D42)</f>
        <v>85671.52267799998</v>
      </c>
      <c r="E46" s="748">
        <f>CRONOGRAMA!D46/CRONOGRAMA!$B$46</f>
        <v>0.12063652806329342</v>
      </c>
      <c r="F46" s="68">
        <f>SUM(CRONOGRAMA!F16:F42)</f>
        <v>201036.899496</v>
      </c>
      <c r="G46" s="748">
        <f>CRONOGRAMA!F46/CRONOGRAMA!$B$46</f>
        <v>0.28308582373352165</v>
      </c>
      <c r="H46" s="68">
        <f>SUM(CRONOGRAMA!H16:H42)</f>
        <v>169118.162396</v>
      </c>
      <c r="I46" s="748">
        <f>CRONOGRAMA!H46/CRONOGRAMA!$B$46</f>
        <v>0.2381401346230158</v>
      </c>
      <c r="J46" s="68">
        <f>SUM(CRONOGRAMA!J16:J42)</f>
        <v>79105.114008</v>
      </c>
      <c r="K46" s="748">
        <f>CRONOGRAMA!J46/CRONOGRAMA!$B$46</f>
        <v>0.1113901796965108</v>
      </c>
      <c r="L46" s="68">
        <f>SUM(CRONOGRAMA!L16:L42)</f>
        <v>112578.82044999998</v>
      </c>
      <c r="M46" s="748">
        <f>CRONOGRAMA!L46/CRONOGRAMA!$B$46</f>
        <v>0.158525465732576</v>
      </c>
      <c r="N46" s="68">
        <f>SUM(CRONOGRAMA!N16:N42)</f>
        <v>62651.850972</v>
      </c>
      <c r="O46" s="749">
        <f>CRONOGRAMA!N46/CRONOGRAMA!$B$46</f>
        <v>0.08822186815108211</v>
      </c>
    </row>
    <row r="47" spans="1:15" ht="15.75">
      <c r="A47" s="69" t="s">
        <v>1775</v>
      </c>
      <c r="B47" s="70">
        <f>SUM(B18:B40)*0.2586+B42*0.1281</f>
        <v>171451.33882200002</v>
      </c>
      <c r="C47" s="748"/>
      <c r="D47" s="70">
        <f>SUM(CRONOGRAMA!D16:D40)*0.2586+CRONOGRAMA!D42*0.1281</f>
        <v>22154.655764530795</v>
      </c>
      <c r="E47" s="748"/>
      <c r="F47" s="70">
        <f>SUM(CRONOGRAMA!F16:F40)*0.2586+CRONOGRAMA!F42*0.1281</f>
        <v>51988.1422096656</v>
      </c>
      <c r="G47" s="748"/>
      <c r="H47" s="70">
        <f>SUM(CRONOGRAMA!H16:H40)*0.2586+CRONOGRAMA!H42*0.1281</f>
        <v>43733.9567956056</v>
      </c>
      <c r="I47" s="748"/>
      <c r="J47" s="70">
        <f>SUM(CRONOGRAMA!J16:J40)*0.2586+CRONOGRAMA!J42*0.1281</f>
        <v>20456.582482468802</v>
      </c>
      <c r="K47" s="748"/>
      <c r="L47" s="70">
        <f>SUM(CRONOGRAMA!L16:L40)*0.2586+CRONOGRAMA!L42*0.1281</f>
        <v>20575.227926369997</v>
      </c>
      <c r="M47" s="748"/>
      <c r="N47" s="70">
        <f>SUM(CRONOGRAMA!N16:N40)*0.2586+CRONOGRAMA!N42*0.1281</f>
        <v>12542.7736433592</v>
      </c>
      <c r="O47" s="749"/>
    </row>
    <row r="48" spans="1:15" ht="15.75">
      <c r="A48" s="69" t="s">
        <v>638</v>
      </c>
      <c r="B48" s="70">
        <f>CRONOGRAMA!B46+CRONOGRAMA!B47</f>
        <v>881613.7088220001</v>
      </c>
      <c r="C48" s="748"/>
      <c r="D48" s="70">
        <f>CRONOGRAMA!D46+CRONOGRAMA!D47</f>
        <v>107826.17844253077</v>
      </c>
      <c r="E48" s="748"/>
      <c r="F48" s="70">
        <f>CRONOGRAMA!F46+CRONOGRAMA!F47</f>
        <v>253025.0417056656</v>
      </c>
      <c r="G48" s="748"/>
      <c r="H48" s="70">
        <f>CRONOGRAMA!H46+CRONOGRAMA!H47</f>
        <v>212852.1191916056</v>
      </c>
      <c r="I48" s="748"/>
      <c r="J48" s="70">
        <f>CRONOGRAMA!J46+CRONOGRAMA!J47</f>
        <v>99561.6964904688</v>
      </c>
      <c r="K48" s="748"/>
      <c r="L48" s="70">
        <f>CRONOGRAMA!L46+CRONOGRAMA!L47</f>
        <v>133154.04837637</v>
      </c>
      <c r="M48" s="748"/>
      <c r="N48" s="70">
        <f>CRONOGRAMA!N46+CRONOGRAMA!N47</f>
        <v>75194.62461535921</v>
      </c>
      <c r="O48" s="749"/>
    </row>
    <row r="49" spans="1:15" ht="15.75">
      <c r="A49" s="69" t="s">
        <v>639</v>
      </c>
      <c r="B49" s="70"/>
      <c r="C49" s="71"/>
      <c r="D49" s="70">
        <f>CRONOGRAMA!D48</f>
        <v>107826.17844253077</v>
      </c>
      <c r="E49" s="72">
        <f>CRONOGRAMA!E46</f>
        <v>0.12063652806329342</v>
      </c>
      <c r="F49" s="70">
        <f>CRONOGRAMA!F48+CRONOGRAMA!D49</f>
        <v>360851.2201481963</v>
      </c>
      <c r="G49" s="72">
        <f>CRONOGRAMA!G46+CRONOGRAMA!E49</f>
        <v>0.40372235179681504</v>
      </c>
      <c r="H49" s="70">
        <f>CRONOGRAMA!H48+CRONOGRAMA!F49</f>
        <v>573703.3393398019</v>
      </c>
      <c r="I49" s="72">
        <f>CRONOGRAMA!I46+CRONOGRAMA!G49</f>
        <v>0.6418624864198308</v>
      </c>
      <c r="J49" s="70">
        <f>CRONOGRAMA!J48+CRONOGRAMA!H49</f>
        <v>673265.0358302707</v>
      </c>
      <c r="K49" s="72">
        <f>CRONOGRAMA!K46+CRONOGRAMA!I49</f>
        <v>0.7532526661163416</v>
      </c>
      <c r="L49" s="70">
        <f>CRONOGRAMA!L48+CRONOGRAMA!J49</f>
        <v>806419.0842066407</v>
      </c>
      <c r="M49" s="72">
        <f>CRONOGRAMA!M46+CRONOGRAMA!K49</f>
        <v>0.9117781318489175</v>
      </c>
      <c r="N49" s="70">
        <f>CRONOGRAMA!N48+CRONOGRAMA!L49</f>
        <v>881613.708822</v>
      </c>
      <c r="O49" s="73">
        <f>CRONOGRAMA!O46+CRONOGRAMA!M49</f>
        <v>0.9999999999999997</v>
      </c>
    </row>
  </sheetData>
  <sheetProtection/>
  <mergeCells count="19">
    <mergeCell ref="M46:M48"/>
    <mergeCell ref="O46:O48"/>
    <mergeCell ref="C46:C48"/>
    <mergeCell ref="E46:E48"/>
    <mergeCell ref="G46:G48"/>
    <mergeCell ref="I46:I48"/>
    <mergeCell ref="K46:K48"/>
    <mergeCell ref="D15:E15"/>
    <mergeCell ref="F15:G15"/>
    <mergeCell ref="H15:I15"/>
    <mergeCell ref="J15:K15"/>
    <mergeCell ref="L15:M15"/>
    <mergeCell ref="N15:O15"/>
    <mergeCell ref="A7:O7"/>
    <mergeCell ref="A8:O8"/>
    <mergeCell ref="A9:O9"/>
    <mergeCell ref="A10:O10"/>
    <mergeCell ref="A11:O11"/>
    <mergeCell ref="A14:O14"/>
  </mergeCells>
  <printOptions/>
  <pageMargins left="0.75" right="0.75" top="1" bottom="1" header="0.511805555555555" footer="0.5"/>
  <pageSetup fitToHeight="1" fitToWidth="1" horizontalDpi="600" verticalDpi="600" orientation="landscape" paperSize="9" scale="60" r:id="rId2"/>
  <headerFooter>
    <oddFooter>&amp;L&amp;"Arial,Normal"	&amp;P</oddFooter>
  </headerFooter>
  <rowBreaks count="1" manualBreakCount="1">
    <brk id="4"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R126"/>
  <sheetViews>
    <sheetView view="pageBreakPreview" zoomScale="115" zoomScaleSheetLayoutView="115" zoomScalePageLayoutView="89" workbookViewId="0" topLeftCell="A103">
      <selection activeCell="A5" sqref="A5:F5"/>
    </sheetView>
  </sheetViews>
  <sheetFormatPr defaultColWidth="8.5" defaultRowHeight="15"/>
  <cols>
    <col min="1" max="1" width="12.09765625" style="0" customWidth="1"/>
    <col min="2" max="2" width="28.5" style="0" customWidth="1"/>
    <col min="3" max="3" width="9.19921875" style="0" customWidth="1"/>
    <col min="4" max="4" width="8.5" style="0" customWidth="1"/>
    <col min="5" max="5" width="9.8984375" style="0" customWidth="1"/>
  </cols>
  <sheetData>
    <row r="1" spans="1:6" ht="15">
      <c r="A1" s="753"/>
      <c r="B1" s="753"/>
      <c r="C1" s="753"/>
      <c r="D1" s="753"/>
      <c r="E1" s="753"/>
      <c r="F1" s="753"/>
    </row>
    <row r="2" spans="1:6" ht="15">
      <c r="A2" s="754"/>
      <c r="B2" s="754"/>
      <c r="C2" s="754"/>
      <c r="D2" s="754"/>
      <c r="E2" s="754"/>
      <c r="F2" s="754"/>
    </row>
    <row r="3" spans="1:6" ht="15">
      <c r="A3" s="754"/>
      <c r="B3" s="754"/>
      <c r="C3" s="754"/>
      <c r="D3" s="754"/>
      <c r="E3" s="754"/>
      <c r="F3" s="754"/>
    </row>
    <row r="4" spans="1:6" ht="15">
      <c r="A4" s="754"/>
      <c r="B4" s="754"/>
      <c r="C4" s="754"/>
      <c r="D4" s="754"/>
      <c r="E4" s="754"/>
      <c r="F4" s="754"/>
    </row>
    <row r="5" spans="1:6" ht="18.75" customHeight="1">
      <c r="A5" s="755" t="s">
        <v>0</v>
      </c>
      <c r="B5" s="755"/>
      <c r="C5" s="755"/>
      <c r="D5" s="755"/>
      <c r="E5" s="755"/>
      <c r="F5" s="755"/>
    </row>
    <row r="6" spans="1:6" ht="12" customHeight="1">
      <c r="A6" s="755" t="s">
        <v>1</v>
      </c>
      <c r="B6" s="755"/>
      <c r="C6" s="755"/>
      <c r="D6" s="755"/>
      <c r="E6" s="755"/>
      <c r="F6" s="755"/>
    </row>
    <row r="7" spans="1:6" ht="15">
      <c r="A7" s="755" t="s">
        <v>2</v>
      </c>
      <c r="B7" s="755"/>
      <c r="C7" s="755"/>
      <c r="D7" s="755"/>
      <c r="E7" s="755"/>
      <c r="F7" s="755"/>
    </row>
    <row r="8" spans="1:6" ht="15">
      <c r="A8" s="755" t="s">
        <v>3</v>
      </c>
      <c r="B8" s="755"/>
      <c r="C8" s="755"/>
      <c r="D8" s="755"/>
      <c r="E8" s="755"/>
      <c r="F8" s="755"/>
    </row>
    <row r="9" spans="1:6" ht="29.25" customHeight="1">
      <c r="A9" s="757" t="s">
        <v>1654</v>
      </c>
      <c r="B9" s="757"/>
      <c r="C9" s="757"/>
      <c r="D9" s="757"/>
      <c r="E9" s="757"/>
      <c r="F9" s="757"/>
    </row>
    <row r="10" spans="1:6" ht="15.75" thickBot="1">
      <c r="A10" s="123"/>
      <c r="B10" s="124"/>
      <c r="C10" s="124"/>
      <c r="D10" s="124"/>
      <c r="E10" s="124"/>
      <c r="F10" s="125"/>
    </row>
    <row r="11" spans="1:6" ht="16.5" customHeight="1" thickBot="1">
      <c r="A11" s="758" t="s">
        <v>1557</v>
      </c>
      <c r="B11" s="758"/>
      <c r="C11" s="758"/>
      <c r="D11" s="758"/>
      <c r="E11" s="758"/>
      <c r="F11" s="758"/>
    </row>
    <row r="12" spans="1:6" ht="15">
      <c r="A12" s="126" t="s">
        <v>6</v>
      </c>
      <c r="B12" s="127" t="s">
        <v>1558</v>
      </c>
      <c r="C12" s="127" t="s">
        <v>414</v>
      </c>
      <c r="D12" s="127" t="s">
        <v>1559</v>
      </c>
      <c r="E12" s="759" t="s">
        <v>436</v>
      </c>
      <c r="F12" s="760"/>
    </row>
    <row r="13" spans="1:6" ht="15.75" thickBot="1">
      <c r="A13" s="123"/>
      <c r="B13" s="124"/>
      <c r="C13" s="124"/>
      <c r="D13" s="124"/>
      <c r="E13" s="124"/>
      <c r="F13" s="125"/>
    </row>
    <row r="14" spans="1:6" ht="16.5" customHeight="1" thickBot="1">
      <c r="A14" s="313">
        <v>2</v>
      </c>
      <c r="B14" s="756" t="s">
        <v>20</v>
      </c>
      <c r="C14" s="756"/>
      <c r="D14" s="756"/>
      <c r="E14" s="756"/>
      <c r="F14" s="756"/>
    </row>
    <row r="15" spans="1:6" ht="26.25" thickBot="1">
      <c r="A15" s="129" t="s">
        <v>23</v>
      </c>
      <c r="B15" s="130" t="s">
        <v>1560</v>
      </c>
      <c r="C15" s="470" t="s">
        <v>26</v>
      </c>
      <c r="D15" s="470"/>
      <c r="E15" s="773">
        <v>12</v>
      </c>
      <c r="F15" s="774"/>
    </row>
    <row r="16" spans="1:6" ht="15">
      <c r="A16" s="123"/>
      <c r="B16" s="4" t="s">
        <v>1671</v>
      </c>
      <c r="C16" s="4" t="s">
        <v>26</v>
      </c>
      <c r="D16" s="4">
        <v>10</v>
      </c>
      <c r="E16" s="325"/>
      <c r="F16" s="326"/>
    </row>
    <row r="17" spans="1:6" ht="15.75" thickBot="1">
      <c r="A17" s="123"/>
      <c r="B17" s="4" t="s">
        <v>1672</v>
      </c>
      <c r="C17" s="4" t="s">
        <v>26</v>
      </c>
      <c r="D17" s="4">
        <v>2</v>
      </c>
      <c r="E17" s="325"/>
      <c r="F17" s="326"/>
    </row>
    <row r="18" spans="1:6" ht="15.75" thickBot="1">
      <c r="A18" s="132" t="s">
        <v>43</v>
      </c>
      <c r="B18" s="130" t="str">
        <f>'ADITIVO - PLANILHA ORÇAMETARIA '!D23</f>
        <v>Limpeza final da obra</v>
      </c>
      <c r="C18" s="133" t="s">
        <v>26</v>
      </c>
      <c r="D18" s="133"/>
      <c r="E18" s="773">
        <f>'ADITIVO - PLANILHA ORÇAMETARIA '!F23</f>
        <v>1235</v>
      </c>
      <c r="F18" s="774"/>
    </row>
    <row r="19" spans="1:6" ht="26.25" thickBot="1">
      <c r="A19" s="123"/>
      <c r="B19" s="4" t="s">
        <v>1561</v>
      </c>
      <c r="C19" s="4" t="s">
        <v>26</v>
      </c>
      <c r="D19" s="4">
        <v>1235</v>
      </c>
      <c r="E19" s="325"/>
      <c r="F19" s="326"/>
    </row>
    <row r="20" spans="1:6" ht="31.5" customHeight="1" thickBot="1">
      <c r="A20" s="316" t="s">
        <v>1675</v>
      </c>
      <c r="B20" s="317" t="s">
        <v>1562</v>
      </c>
      <c r="C20" s="318" t="s">
        <v>52</v>
      </c>
      <c r="D20" s="319"/>
      <c r="E20" s="781">
        <f>SUM(D21:D24)</f>
        <v>33.226592000000004</v>
      </c>
      <c r="F20" s="782"/>
    </row>
    <row r="21" spans="1:13" ht="39" thickBot="1">
      <c r="A21" s="492" t="s">
        <v>1563</v>
      </c>
      <c r="B21" s="314" t="s">
        <v>1564</v>
      </c>
      <c r="C21" s="314" t="s">
        <v>52</v>
      </c>
      <c r="D21" s="315">
        <f>(33*23-26.24*17.24)*0.08</f>
        <v>24.529792000000008</v>
      </c>
      <c r="E21" s="281"/>
      <c r="F21" s="324"/>
      <c r="H21" s="128"/>
      <c r="I21" s="756"/>
      <c r="J21" s="756"/>
      <c r="K21" s="756"/>
      <c r="L21" s="756"/>
      <c r="M21" s="756"/>
    </row>
    <row r="22" spans="1:13" ht="77.25" thickBot="1">
      <c r="A22" s="493" t="s">
        <v>1565</v>
      </c>
      <c r="B22" s="468" t="s">
        <v>1566</v>
      </c>
      <c r="C22" s="468" t="s">
        <v>52</v>
      </c>
      <c r="D22" s="468">
        <f>(10.4*1*0.08)</f>
        <v>0.8320000000000001</v>
      </c>
      <c r="E22" s="281"/>
      <c r="F22" s="324"/>
      <c r="H22" s="129"/>
      <c r="I22" s="130"/>
      <c r="J22" s="131"/>
      <c r="K22" s="131"/>
      <c r="L22" s="773"/>
      <c r="M22" s="774"/>
    </row>
    <row r="23" spans="1:13" ht="140.25">
      <c r="A23" s="493" t="s">
        <v>1650</v>
      </c>
      <c r="B23" s="468" t="s">
        <v>1651</v>
      </c>
      <c r="C23" s="468" t="s">
        <v>26</v>
      </c>
      <c r="D23" s="468">
        <f>(((3.77+4.52)*18)/2)*0.08</f>
        <v>5.968799999999999</v>
      </c>
      <c r="E23" s="281"/>
      <c r="F23" s="324"/>
      <c r="G23" s="202"/>
      <c r="H23" s="123"/>
      <c r="I23" s="4"/>
      <c r="J23" s="200"/>
      <c r="K23" s="200"/>
      <c r="L23" s="124"/>
      <c r="M23" s="125"/>
    </row>
    <row r="24" spans="1:6" ht="51.75" thickBot="1">
      <c r="A24" s="493" t="s">
        <v>1688</v>
      </c>
      <c r="B24" s="468" t="s">
        <v>1730</v>
      </c>
      <c r="C24" s="468" t="s">
        <v>52</v>
      </c>
      <c r="D24" s="468">
        <f>6*0.316</f>
        <v>1.896</v>
      </c>
      <c r="E24" s="4"/>
      <c r="F24" s="469"/>
    </row>
    <row r="25" spans="1:6" ht="26.25" thickBot="1">
      <c r="A25" s="316" t="s">
        <v>1676</v>
      </c>
      <c r="B25" s="339" t="s">
        <v>58</v>
      </c>
      <c r="C25" s="318" t="s">
        <v>52</v>
      </c>
      <c r="D25" s="319"/>
      <c r="E25" s="781">
        <f>SUM(D26:D28)</f>
        <v>95.414</v>
      </c>
      <c r="F25" s="782"/>
    </row>
    <row r="26" spans="1:6" ht="25.5">
      <c r="A26" s="492" t="s">
        <v>1732</v>
      </c>
      <c r="B26" s="314" t="s">
        <v>1731</v>
      </c>
      <c r="C26" s="314" t="s">
        <v>52</v>
      </c>
      <c r="D26" s="315">
        <f>16*25*0.2</f>
        <v>80</v>
      </c>
      <c r="E26" s="281"/>
      <c r="F26" s="324"/>
    </row>
    <row r="27" spans="1:6" ht="38.25">
      <c r="A27" s="493" t="s">
        <v>1734</v>
      </c>
      <c r="B27" s="468" t="s">
        <v>1733</v>
      </c>
      <c r="C27" s="468" t="s">
        <v>52</v>
      </c>
      <c r="D27" s="468">
        <f>32*0.2</f>
        <v>6.4</v>
      </c>
      <c r="E27" s="281"/>
      <c r="F27" s="324"/>
    </row>
    <row r="28" spans="1:6" ht="89.25">
      <c r="A28" s="493" t="s">
        <v>1735</v>
      </c>
      <c r="B28" s="468" t="s">
        <v>1736</v>
      </c>
      <c r="C28" s="468" t="s">
        <v>52</v>
      </c>
      <c r="D28" s="468">
        <f>45.07*0.2</f>
        <v>9.014000000000001</v>
      </c>
      <c r="E28" s="281"/>
      <c r="F28" s="324"/>
    </row>
    <row r="29" spans="1:7" ht="33.75" customHeight="1" thickBot="1">
      <c r="A29" s="467"/>
      <c r="B29" s="4"/>
      <c r="C29" s="4"/>
      <c r="D29" s="4"/>
      <c r="E29" s="4"/>
      <c r="F29" s="469"/>
      <c r="G29" s="337"/>
    </row>
    <row r="30" spans="1:6" ht="26.25" thickBot="1">
      <c r="A30" s="320" t="s">
        <v>1686</v>
      </c>
      <c r="B30" s="321" t="s">
        <v>1567</v>
      </c>
      <c r="C30" s="322" t="s">
        <v>52</v>
      </c>
      <c r="D30" s="323"/>
      <c r="E30" s="775">
        <f>SUM(D31:D35)</f>
        <v>191.590888</v>
      </c>
      <c r="F30" s="776"/>
    </row>
    <row r="31" spans="1:8" ht="38.25">
      <c r="A31" s="492" t="s">
        <v>1563</v>
      </c>
      <c r="B31" s="314" t="s">
        <v>1568</v>
      </c>
      <c r="C31" s="314" t="s">
        <v>52</v>
      </c>
      <c r="D31" s="314">
        <f>D21*1.5</f>
        <v>36.79468800000001</v>
      </c>
      <c r="E31" s="327"/>
      <c r="F31" s="328"/>
      <c r="G31" s="337"/>
      <c r="H31" s="338"/>
    </row>
    <row r="32" spans="1:8" ht="38.25">
      <c r="A32" s="492" t="s">
        <v>1743</v>
      </c>
      <c r="B32" s="314" t="s">
        <v>1737</v>
      </c>
      <c r="C32" s="314" t="s">
        <v>52</v>
      </c>
      <c r="D32" s="314">
        <f>1.5*95.41</f>
        <v>143.115</v>
      </c>
      <c r="E32" s="327"/>
      <c r="F32" s="328"/>
      <c r="G32" s="337"/>
      <c r="H32" s="338"/>
    </row>
    <row r="33" spans="1:8" ht="51">
      <c r="A33" s="493" t="s">
        <v>1650</v>
      </c>
      <c r="B33" s="314" t="s">
        <v>1742</v>
      </c>
      <c r="C33" s="314" t="s">
        <v>52</v>
      </c>
      <c r="D33" s="314">
        <f>D23*1.5</f>
        <v>8.953199999999999</v>
      </c>
      <c r="E33" s="327"/>
      <c r="F33" s="328"/>
      <c r="G33" s="337"/>
      <c r="H33" s="338"/>
    </row>
    <row r="34" spans="1:6" ht="51">
      <c r="A34" s="493" t="s">
        <v>1688</v>
      </c>
      <c r="B34" s="468" t="s">
        <v>1730</v>
      </c>
      <c r="C34" s="468" t="s">
        <v>52</v>
      </c>
      <c r="D34" s="468">
        <f>6*0.316</f>
        <v>1.896</v>
      </c>
      <c r="E34" s="4"/>
      <c r="F34" s="469"/>
    </row>
    <row r="35" spans="1:6" ht="76.5">
      <c r="A35" s="493" t="s">
        <v>1565</v>
      </c>
      <c r="B35" s="468" t="s">
        <v>1566</v>
      </c>
      <c r="C35" s="468" t="s">
        <v>52</v>
      </c>
      <c r="D35" s="468">
        <f>(10.4*1*0.08)</f>
        <v>0.8320000000000001</v>
      </c>
      <c r="E35" s="4"/>
      <c r="F35" s="469"/>
    </row>
    <row r="36" spans="1:6" ht="15">
      <c r="A36" s="467"/>
      <c r="B36" s="4"/>
      <c r="C36" s="4"/>
      <c r="D36" s="4"/>
      <c r="E36" s="4"/>
      <c r="F36" s="469"/>
    </row>
    <row r="37" spans="1:6" ht="38.25">
      <c r="A37" s="285" t="s">
        <v>1678</v>
      </c>
      <c r="B37" s="311" t="s">
        <v>65</v>
      </c>
      <c r="C37" s="312" t="s">
        <v>52</v>
      </c>
      <c r="D37" s="311"/>
      <c r="E37" s="783">
        <f>SUM('Memória de Calculo'!F40:F46)</f>
        <v>139.543</v>
      </c>
      <c r="F37" s="784"/>
    </row>
    <row r="38" spans="1:6" ht="15">
      <c r="A38" s="340"/>
      <c r="B38" s="341"/>
      <c r="C38" s="342"/>
      <c r="D38" s="341"/>
      <c r="E38" s="343"/>
      <c r="F38" s="344"/>
    </row>
    <row r="39" spans="1:6" ht="25.5">
      <c r="A39" s="494"/>
      <c r="B39" s="166"/>
      <c r="C39" s="468" t="s">
        <v>1569</v>
      </c>
      <c r="D39" s="468" t="s">
        <v>1570</v>
      </c>
      <c r="E39" s="298" t="s">
        <v>1571</v>
      </c>
      <c r="F39" s="495" t="s">
        <v>1572</v>
      </c>
    </row>
    <row r="40" spans="1:6" ht="42.75" customHeight="1">
      <c r="A40" s="494"/>
      <c r="B40" s="166" t="s">
        <v>1573</v>
      </c>
      <c r="C40" s="167">
        <v>15.3</v>
      </c>
      <c r="D40" s="167">
        <v>1</v>
      </c>
      <c r="E40" s="167">
        <v>0.7</v>
      </c>
      <c r="F40" s="496">
        <f>'Memória de Calculo'!E40*'Memória de Calculo'!D40*'Memória de Calculo'!C40</f>
        <v>10.709999999999999</v>
      </c>
    </row>
    <row r="41" spans="1:6" ht="25.5">
      <c r="A41" s="494"/>
      <c r="B41" s="166" t="s">
        <v>1574</v>
      </c>
      <c r="C41" s="167">
        <v>10.4</v>
      </c>
      <c r="D41" s="167">
        <v>1</v>
      </c>
      <c r="E41" s="167">
        <v>1.7</v>
      </c>
      <c r="F41" s="496">
        <f>'Memória de Calculo'!E41*'Memória de Calculo'!D41*'Memória de Calculo'!C41</f>
        <v>17.68</v>
      </c>
    </row>
    <row r="42" spans="1:6" ht="16.5" customHeight="1">
      <c r="A42" s="494"/>
      <c r="B42" s="166" t="s">
        <v>1575</v>
      </c>
      <c r="C42" s="167">
        <f>16+1.4+3+0.4+7+3</f>
        <v>30.799999999999997</v>
      </c>
      <c r="D42" s="167">
        <v>0.25</v>
      </c>
      <c r="E42" s="167">
        <f>0.4</f>
        <v>0.4</v>
      </c>
      <c r="F42" s="496">
        <f>'Memória de Calculo'!E42*'Memória de Calculo'!D42*'Memória de Calculo'!C42</f>
        <v>3.08</v>
      </c>
    </row>
    <row r="43" spans="1:6" ht="15" customHeight="1">
      <c r="A43" s="494"/>
      <c r="B43" s="166" t="s">
        <v>1576</v>
      </c>
      <c r="C43" s="167">
        <f>(12.2+27.3+18.5+22)+1.5*22</f>
        <v>113</v>
      </c>
      <c r="D43" s="167">
        <v>0.5</v>
      </c>
      <c r="E43" s="167">
        <v>0.8</v>
      </c>
      <c r="F43" s="496">
        <f>'Memória de Calculo'!E43*'Memória de Calculo'!D43*'Memória de Calculo'!C43</f>
        <v>45.2</v>
      </c>
    </row>
    <row r="44" spans="1:13" ht="118.5" customHeight="1">
      <c r="A44" s="494"/>
      <c r="B44" s="166" t="s">
        <v>1738</v>
      </c>
      <c r="C44" s="167">
        <v>25.04</v>
      </c>
      <c r="D44" s="167">
        <v>16</v>
      </c>
      <c r="E44" s="167" t="s">
        <v>1740</v>
      </c>
      <c r="F44" s="496">
        <v>61.28</v>
      </c>
      <c r="M44" s="4"/>
    </row>
    <row r="45" spans="1:13" ht="118.5" customHeight="1">
      <c r="A45" s="493"/>
      <c r="B45" s="468" t="s">
        <v>1741</v>
      </c>
      <c r="C45" s="468">
        <v>3.85</v>
      </c>
      <c r="D45" s="468">
        <v>2</v>
      </c>
      <c r="E45" s="167">
        <v>0.09</v>
      </c>
      <c r="F45" s="496">
        <f>'Memória de Calculo'!E45*'Memória de Calculo'!D45*'Memória de Calculo'!C45</f>
        <v>0.693</v>
      </c>
      <c r="M45" s="4"/>
    </row>
    <row r="46" spans="1:13" ht="118.5" customHeight="1">
      <c r="A46" s="493"/>
      <c r="B46" s="468" t="s">
        <v>1804</v>
      </c>
      <c r="C46" s="468">
        <v>15</v>
      </c>
      <c r="D46" s="468">
        <v>0.2</v>
      </c>
      <c r="E46" s="167">
        <v>0.3</v>
      </c>
      <c r="F46" s="496">
        <f>'Memória de Calculo'!E46*'Memória de Calculo'!D46*'Memória de Calculo'!C46</f>
        <v>0.8999999999999999</v>
      </c>
      <c r="M46" s="4"/>
    </row>
    <row r="47" spans="1:18" ht="23.25" customHeight="1">
      <c r="A47" s="494"/>
      <c r="B47" s="750" t="s">
        <v>1739</v>
      </c>
      <c r="C47" s="750"/>
      <c r="D47" s="750"/>
      <c r="E47" s="750"/>
      <c r="F47" s="780"/>
      <c r="G47" s="282"/>
      <c r="H47" s="134"/>
      <c r="I47" s="135"/>
      <c r="J47" s="134"/>
      <c r="K47" s="134"/>
      <c r="L47" s="134"/>
      <c r="M47" s="134"/>
      <c r="N47" s="134"/>
      <c r="O47" s="134"/>
      <c r="P47" s="134"/>
      <c r="Q47" s="134"/>
      <c r="R47" s="135"/>
    </row>
    <row r="48" spans="1:18" ht="16.5" thickBot="1">
      <c r="A48" s="467"/>
      <c r="B48" s="4"/>
      <c r="C48" s="4"/>
      <c r="D48" s="4"/>
      <c r="E48" s="4"/>
      <c r="F48" s="469"/>
      <c r="G48" s="283"/>
      <c r="H48" s="137"/>
      <c r="I48" s="136"/>
      <c r="J48" s="136"/>
      <c r="K48" s="136"/>
      <c r="L48" s="136"/>
      <c r="M48" s="136"/>
      <c r="N48" s="136"/>
      <c r="O48" s="136"/>
      <c r="P48" s="136"/>
      <c r="Q48" s="137"/>
      <c r="R48" s="136"/>
    </row>
    <row r="49" spans="1:18" ht="16.5" thickBot="1">
      <c r="A49" s="313">
        <v>3</v>
      </c>
      <c r="B49" s="777" t="s">
        <v>91</v>
      </c>
      <c r="C49" s="778"/>
      <c r="D49" s="778"/>
      <c r="E49" s="778"/>
      <c r="F49" s="779"/>
      <c r="G49" s="283"/>
      <c r="H49" s="137"/>
      <c r="I49" s="136"/>
      <c r="J49" s="137"/>
      <c r="K49" s="137"/>
      <c r="L49" s="137"/>
      <c r="M49" s="137"/>
      <c r="N49" s="138"/>
      <c r="O49" s="138"/>
      <c r="P49" s="136"/>
      <c r="Q49" s="137"/>
      <c r="R49" s="136"/>
    </row>
    <row r="50" spans="1:9" ht="15" customHeight="1">
      <c r="A50" s="761" t="s">
        <v>1577</v>
      </c>
      <c r="B50" s="712"/>
      <c r="C50" s="712"/>
      <c r="D50" s="712"/>
      <c r="E50" s="712"/>
      <c r="F50" s="762"/>
      <c r="G50" s="282"/>
      <c r="H50" s="134"/>
      <c r="I50" s="136"/>
    </row>
    <row r="51" spans="1:9" ht="15" customHeight="1">
      <c r="A51" s="467"/>
      <c r="B51" s="4"/>
      <c r="C51" s="4"/>
      <c r="D51" s="4"/>
      <c r="E51" s="4"/>
      <c r="F51" s="469"/>
      <c r="G51" s="4"/>
      <c r="H51" s="4"/>
      <c r="I51" s="280"/>
    </row>
    <row r="52" spans="1:9" ht="15" customHeight="1">
      <c r="A52" s="467"/>
      <c r="B52" s="4"/>
      <c r="C52" s="4"/>
      <c r="D52" s="4"/>
      <c r="E52" s="4"/>
      <c r="F52" s="469"/>
      <c r="G52" s="4"/>
      <c r="H52" s="4"/>
      <c r="I52" s="280"/>
    </row>
    <row r="53" spans="1:9" ht="15" customHeight="1">
      <c r="A53" s="467"/>
      <c r="B53" s="4"/>
      <c r="C53" s="4"/>
      <c r="D53" s="4"/>
      <c r="E53" s="4"/>
      <c r="F53" s="469"/>
      <c r="G53" s="4"/>
      <c r="H53" s="4"/>
      <c r="I53" s="280"/>
    </row>
    <row r="54" spans="1:9" ht="15" customHeight="1">
      <c r="A54" s="467"/>
      <c r="B54" s="4"/>
      <c r="C54" s="4"/>
      <c r="D54" s="4"/>
      <c r="E54" s="4"/>
      <c r="F54" s="469"/>
      <c r="G54" s="4"/>
      <c r="H54" s="4"/>
      <c r="I54" s="280"/>
    </row>
    <row r="55" spans="1:9" ht="15" customHeight="1">
      <c r="A55" s="467"/>
      <c r="B55" s="4"/>
      <c r="C55" s="4"/>
      <c r="D55" s="4"/>
      <c r="E55" s="4"/>
      <c r="F55" s="469"/>
      <c r="G55" s="4"/>
      <c r="H55" s="4"/>
      <c r="I55" s="280"/>
    </row>
    <row r="56" spans="1:9" ht="15" customHeight="1">
      <c r="A56" s="467"/>
      <c r="B56" s="4"/>
      <c r="C56" s="4"/>
      <c r="D56" s="4"/>
      <c r="E56" s="4"/>
      <c r="F56" s="469"/>
      <c r="G56" s="4"/>
      <c r="H56" s="4"/>
      <c r="I56" s="280"/>
    </row>
    <row r="57" spans="1:9" ht="15" customHeight="1">
      <c r="A57" s="497"/>
      <c r="B57" s="750" t="s">
        <v>1578</v>
      </c>
      <c r="C57" s="750"/>
      <c r="D57" s="750"/>
      <c r="E57" s="750"/>
      <c r="F57" s="498" t="s">
        <v>1578</v>
      </c>
      <c r="G57" s="4"/>
      <c r="H57" s="4"/>
      <c r="I57" s="280"/>
    </row>
    <row r="58" spans="1:9" ht="15" customHeight="1">
      <c r="A58" s="493" t="s">
        <v>1670</v>
      </c>
      <c r="B58" s="750" t="s">
        <v>1587</v>
      </c>
      <c r="C58" s="750"/>
      <c r="D58" s="750"/>
      <c r="E58" s="750"/>
      <c r="F58" s="498" t="s">
        <v>1588</v>
      </c>
      <c r="G58" s="4"/>
      <c r="H58" s="4"/>
      <c r="I58" s="280"/>
    </row>
    <row r="59" spans="1:9" ht="15" customHeight="1">
      <c r="A59" s="493" t="s">
        <v>1579</v>
      </c>
      <c r="B59" s="752">
        <v>0.2</v>
      </c>
      <c r="C59" s="752"/>
      <c r="D59" s="752"/>
      <c r="E59" s="752"/>
      <c r="F59" s="499">
        <v>0.2</v>
      </c>
      <c r="G59" s="4"/>
      <c r="H59" s="4"/>
      <c r="I59" s="280"/>
    </row>
    <row r="60" spans="1:9" ht="15" customHeight="1">
      <c r="A60" s="493" t="s">
        <v>1580</v>
      </c>
      <c r="B60" s="750">
        <v>0.3</v>
      </c>
      <c r="C60" s="750"/>
      <c r="D60" s="750"/>
      <c r="E60" s="750"/>
      <c r="F60" s="498">
        <v>0.3</v>
      </c>
      <c r="G60" s="4"/>
      <c r="H60" s="4"/>
      <c r="I60" s="280"/>
    </row>
    <row r="61" spans="1:9" ht="15" customHeight="1">
      <c r="A61" s="493" t="s">
        <v>1581</v>
      </c>
      <c r="B61" s="750">
        <v>0.9</v>
      </c>
      <c r="C61" s="750"/>
      <c r="D61" s="750"/>
      <c r="E61" s="750"/>
      <c r="F61" s="498">
        <v>0.8</v>
      </c>
      <c r="G61" s="4"/>
      <c r="H61" s="4"/>
      <c r="I61" s="280"/>
    </row>
    <row r="62" spans="1:9" ht="15" customHeight="1">
      <c r="A62" s="493" t="s">
        <v>1582</v>
      </c>
      <c r="B62" s="750">
        <v>0.3</v>
      </c>
      <c r="C62" s="750"/>
      <c r="D62" s="750"/>
      <c r="E62" s="750"/>
      <c r="F62" s="498">
        <v>0.3</v>
      </c>
      <c r="G62" s="4"/>
      <c r="H62" s="4"/>
      <c r="I62" s="280"/>
    </row>
    <row r="63" spans="1:6" ht="15">
      <c r="A63" s="493" t="s">
        <v>1583</v>
      </c>
      <c r="B63" s="750">
        <v>0.9</v>
      </c>
      <c r="C63" s="750"/>
      <c r="D63" s="750"/>
      <c r="E63" s="750"/>
      <c r="F63" s="498">
        <v>0.8</v>
      </c>
    </row>
    <row r="64" spans="1:6" ht="15">
      <c r="A64" s="493" t="s">
        <v>1584</v>
      </c>
      <c r="B64" s="750">
        <v>0.3</v>
      </c>
      <c r="C64" s="750"/>
      <c r="D64" s="750"/>
      <c r="E64" s="750"/>
      <c r="F64" s="498">
        <v>0.8</v>
      </c>
    </row>
    <row r="65" spans="1:6" ht="15">
      <c r="A65" s="493" t="s">
        <v>1572</v>
      </c>
      <c r="B65" s="750">
        <f>((B60-B59)/3)*((B61*B63)+(B62*B64)+SQRT(B61*B63*B62*B64))+(B61*B63*B59)</f>
        <v>0.201</v>
      </c>
      <c r="C65" s="750"/>
      <c r="D65" s="750"/>
      <c r="E65" s="750"/>
      <c r="F65" s="498">
        <f>((F60-F59)/3)*((F61*F63)+(F62*F64)+SQRT(F61*F63*F62*F64))+(F61*F63*F59)</f>
        <v>0.17039727862817697</v>
      </c>
    </row>
    <row r="66" spans="1:6" ht="15">
      <c r="A66" s="493" t="s">
        <v>1585</v>
      </c>
      <c r="B66" s="750">
        <v>2</v>
      </c>
      <c r="C66" s="750"/>
      <c r="D66" s="750"/>
      <c r="E66" s="750"/>
      <c r="F66" s="498">
        <v>4</v>
      </c>
    </row>
    <row r="67" spans="1:6" ht="15">
      <c r="A67" s="500" t="s">
        <v>1586</v>
      </c>
      <c r="B67" s="751">
        <f>B66*B65</f>
        <v>0.402</v>
      </c>
      <c r="C67" s="751"/>
      <c r="D67" s="751"/>
      <c r="E67" s="751"/>
      <c r="F67" s="501">
        <f>F66*F65</f>
        <v>0.6815891145127079</v>
      </c>
    </row>
    <row r="68" spans="1:6" ht="16.5" customHeight="1">
      <c r="A68" s="286"/>
      <c r="B68" s="141"/>
      <c r="C68" s="141"/>
      <c r="D68" s="141"/>
      <c r="E68" s="141"/>
      <c r="F68" s="284"/>
    </row>
    <row r="69" spans="1:6" ht="51">
      <c r="A69" s="287" t="s">
        <v>1589</v>
      </c>
      <c r="B69" s="201" t="s">
        <v>95</v>
      </c>
      <c r="C69" s="139">
        <v>11</v>
      </c>
      <c r="D69" s="201" t="s">
        <v>1590</v>
      </c>
      <c r="E69" s="201"/>
      <c r="F69" s="292"/>
    </row>
    <row r="70" spans="1:6" ht="38.25">
      <c r="A70" s="287" t="s">
        <v>1591</v>
      </c>
      <c r="B70" s="201" t="s">
        <v>52</v>
      </c>
      <c r="C70" s="139">
        <v>1.08</v>
      </c>
      <c r="D70" s="201" t="s">
        <v>1592</v>
      </c>
      <c r="E70" s="201"/>
      <c r="F70" s="292"/>
    </row>
    <row r="71" spans="1:6" ht="38.25">
      <c r="A71" s="287" t="s">
        <v>1593</v>
      </c>
      <c r="B71" s="201" t="s">
        <v>26</v>
      </c>
      <c r="C71" s="139">
        <v>4</v>
      </c>
      <c r="D71" s="201" t="s">
        <v>1594</v>
      </c>
      <c r="E71" s="201"/>
      <c r="F71" s="292"/>
    </row>
    <row r="72" spans="1:6" ht="15.75" thickBot="1">
      <c r="A72" s="288"/>
      <c r="B72" s="141"/>
      <c r="C72" s="141"/>
      <c r="D72" s="141"/>
      <c r="E72" s="141"/>
      <c r="F72" s="284"/>
    </row>
    <row r="73" spans="1:7" ht="15.75" thickBot="1">
      <c r="A73" s="313">
        <v>4</v>
      </c>
      <c r="B73" s="786" t="s">
        <v>108</v>
      </c>
      <c r="C73" s="786"/>
      <c r="D73" s="786"/>
      <c r="E73" s="786"/>
      <c r="F73" s="786"/>
      <c r="G73" s="140"/>
    </row>
    <row r="74" spans="1:7" ht="89.25">
      <c r="A74" s="287" t="s">
        <v>132</v>
      </c>
      <c r="B74" s="201" t="s">
        <v>133</v>
      </c>
      <c r="C74" s="139">
        <f>6.16*5</f>
        <v>30.8</v>
      </c>
      <c r="D74" s="201" t="s">
        <v>1595</v>
      </c>
      <c r="E74" s="201"/>
      <c r="F74" s="292"/>
      <c r="G74" s="785"/>
    </row>
    <row r="75" spans="1:7" ht="127.5">
      <c r="A75" s="287" t="s">
        <v>136</v>
      </c>
      <c r="B75" s="201" t="s">
        <v>133</v>
      </c>
      <c r="C75" s="139">
        <f>5</f>
        <v>5</v>
      </c>
      <c r="D75" s="201" t="s">
        <v>1596</v>
      </c>
      <c r="E75" s="201"/>
      <c r="F75" s="292"/>
      <c r="G75" s="785"/>
    </row>
    <row r="76" spans="1:7" ht="178.5">
      <c r="A76" s="287" t="s">
        <v>139</v>
      </c>
      <c r="B76" s="201" t="s">
        <v>26</v>
      </c>
      <c r="C76" s="139">
        <f>15*0.15*0.2</f>
        <v>0.45</v>
      </c>
      <c r="D76" s="201" t="s">
        <v>1597</v>
      </c>
      <c r="E76" s="201"/>
      <c r="F76" s="292"/>
      <c r="G76" s="785"/>
    </row>
    <row r="77" spans="1:7" ht="127.5">
      <c r="A77" s="287" t="s">
        <v>142</v>
      </c>
      <c r="B77" s="201" t="s">
        <v>26</v>
      </c>
      <c r="C77" s="139">
        <f>'Memória de Calculo'!C76</f>
        <v>0.45</v>
      </c>
      <c r="D77" s="201" t="s">
        <v>1598</v>
      </c>
      <c r="E77" s="201"/>
      <c r="F77" s="292"/>
      <c r="G77" s="785"/>
    </row>
    <row r="78" spans="1:7" ht="15.75" customHeight="1">
      <c r="A78" s="494" t="s">
        <v>1599</v>
      </c>
      <c r="B78" s="310" t="s">
        <v>1600</v>
      </c>
      <c r="C78" s="310" t="s">
        <v>1601</v>
      </c>
      <c r="D78" s="310" t="s">
        <v>1602</v>
      </c>
      <c r="E78" s="310" t="s">
        <v>1603</v>
      </c>
      <c r="F78" s="495" t="s">
        <v>1604</v>
      </c>
      <c r="G78" s="785"/>
    </row>
    <row r="79" spans="1:7" ht="15.75" customHeight="1">
      <c r="A79" s="493" t="s">
        <v>1605</v>
      </c>
      <c r="B79" s="468">
        <v>16</v>
      </c>
      <c r="C79" s="468"/>
      <c r="D79" s="468">
        <v>62</v>
      </c>
      <c r="E79" s="468">
        <v>10.8</v>
      </c>
      <c r="F79" s="498">
        <v>0.54</v>
      </c>
      <c r="G79" s="141"/>
    </row>
    <row r="80" spans="1:6" ht="16.5" customHeight="1">
      <c r="A80" s="493" t="s">
        <v>1605</v>
      </c>
      <c r="B80" s="468">
        <v>16</v>
      </c>
      <c r="C80" s="468"/>
      <c r="D80" s="468">
        <v>42</v>
      </c>
      <c r="E80" s="468">
        <v>10.8</v>
      </c>
      <c r="F80" s="498">
        <v>0.54</v>
      </c>
    </row>
    <row r="81" spans="1:6" ht="34.5" customHeight="1">
      <c r="A81" s="493" t="s">
        <v>1606</v>
      </c>
      <c r="B81" s="468">
        <v>19</v>
      </c>
      <c r="C81" s="468">
        <v>21</v>
      </c>
      <c r="D81" s="468"/>
      <c r="E81" s="468">
        <f>2.85+8.54</f>
        <v>11.389999999999999</v>
      </c>
      <c r="F81" s="498">
        <v>0.92</v>
      </c>
    </row>
    <row r="82" spans="1:6" ht="15">
      <c r="A82" s="493" t="s">
        <v>1607</v>
      </c>
      <c r="B82" s="468">
        <v>33</v>
      </c>
      <c r="C82" s="468">
        <v>34</v>
      </c>
      <c r="D82" s="468"/>
      <c r="E82" s="468">
        <f>4.35+11.18</f>
        <v>15.53</v>
      </c>
      <c r="F82" s="498">
        <v>1.19</v>
      </c>
    </row>
    <row r="83" spans="1:6" s="142" customFormat="1" ht="15">
      <c r="A83" s="493" t="s">
        <v>1608</v>
      </c>
      <c r="B83" s="468">
        <f>SUM(B79:B82)</f>
        <v>84</v>
      </c>
      <c r="C83" s="468">
        <f>SUM(C79:C82)</f>
        <v>55</v>
      </c>
      <c r="D83" s="468">
        <f>SUM(D79:D82)</f>
        <v>104</v>
      </c>
      <c r="E83" s="468">
        <f>SUM(E79:E82)</f>
        <v>48.52</v>
      </c>
      <c r="F83" s="498">
        <f>SUM(F79:F82)</f>
        <v>3.19</v>
      </c>
    </row>
    <row r="84" spans="1:6" s="142" customFormat="1" ht="15.75" thickBot="1">
      <c r="A84" s="467"/>
      <c r="B84" s="4"/>
      <c r="C84" s="4"/>
      <c r="D84" s="4"/>
      <c r="E84" s="4"/>
      <c r="F84" s="469"/>
    </row>
    <row r="85" spans="1:6" s="142" customFormat="1" ht="15.75" thickBot="1">
      <c r="A85" s="330" t="s">
        <v>350</v>
      </c>
      <c r="B85" s="756" t="s">
        <v>334</v>
      </c>
      <c r="C85" s="756"/>
      <c r="D85" s="756"/>
      <c r="E85" s="756"/>
      <c r="F85" s="756"/>
    </row>
    <row r="86" spans="1:6" s="142" customFormat="1" ht="29.25" customHeight="1">
      <c r="A86" s="766" t="s">
        <v>348</v>
      </c>
      <c r="B86" s="767"/>
      <c r="C86" s="767"/>
      <c r="D86" s="767"/>
      <c r="E86" s="296" t="s">
        <v>26</v>
      </c>
      <c r="F86" s="297">
        <f>ROUND(SUM('Memória de Calculo'!F88:F90),2)</f>
        <v>533.62</v>
      </c>
    </row>
    <row r="87" spans="1:6" ht="48" customHeight="1">
      <c r="A87" s="494" t="s">
        <v>1609</v>
      </c>
      <c r="B87" s="468" t="s">
        <v>1569</v>
      </c>
      <c r="C87" s="468" t="s">
        <v>1570</v>
      </c>
      <c r="D87" s="298" t="s">
        <v>1610</v>
      </c>
      <c r="E87" s="298" t="s">
        <v>1585</v>
      </c>
      <c r="F87" s="502" t="s">
        <v>1608</v>
      </c>
    </row>
    <row r="88" spans="1:6" ht="15">
      <c r="A88" s="503" t="s">
        <v>1611</v>
      </c>
      <c r="B88" s="299"/>
      <c r="C88" s="299"/>
      <c r="D88" s="299">
        <v>41.21</v>
      </c>
      <c r="E88" s="299">
        <v>2</v>
      </c>
      <c r="F88" s="504">
        <f>'Memória de Calculo'!E88*'Memória de Calculo'!D88</f>
        <v>82.42</v>
      </c>
    </row>
    <row r="89" spans="1:6" ht="15">
      <c r="A89" s="503" t="s">
        <v>1612</v>
      </c>
      <c r="B89" s="299">
        <v>16</v>
      </c>
      <c r="C89" s="299">
        <v>1.6</v>
      </c>
      <c r="D89" s="299">
        <f>'Memória de Calculo'!C89*'Memória de Calculo'!B89</f>
        <v>25.6</v>
      </c>
      <c r="E89" s="299">
        <v>2</v>
      </c>
      <c r="F89" s="504">
        <f>'Memória de Calculo'!E89*'Memória de Calculo'!D89</f>
        <v>51.2</v>
      </c>
    </row>
    <row r="90" spans="1:6" ht="15">
      <c r="A90" s="503" t="s">
        <v>1613</v>
      </c>
      <c r="B90" s="299">
        <v>16</v>
      </c>
      <c r="C90" s="299">
        <v>25</v>
      </c>
      <c r="D90" s="299">
        <f>'Memória de Calculo'!C90*'Memória de Calculo'!B90</f>
        <v>400</v>
      </c>
      <c r="E90" s="299">
        <v>1</v>
      </c>
      <c r="F90" s="504">
        <f>'Memória de Calculo'!E90*'Memória de Calculo'!D90</f>
        <v>400</v>
      </c>
    </row>
    <row r="91" spans="1:6" s="142" customFormat="1" ht="15">
      <c r="A91" s="300"/>
      <c r="B91" s="309"/>
      <c r="C91" s="302"/>
      <c r="D91" s="302"/>
      <c r="E91" s="302"/>
      <c r="F91" s="303"/>
    </row>
    <row r="92" spans="1:6" s="142" customFormat="1" ht="27" customHeight="1">
      <c r="A92" s="771" t="s">
        <v>349</v>
      </c>
      <c r="B92" s="772"/>
      <c r="C92" s="772"/>
      <c r="D92" s="772"/>
      <c r="E92" s="39" t="s">
        <v>26</v>
      </c>
      <c r="F92" s="293">
        <f>ROUND(SUM('Memória de Calculo'!F94:F102),2)</f>
        <v>46.27</v>
      </c>
    </row>
    <row r="93" spans="1:6" ht="15">
      <c r="A93" s="305"/>
      <c r="B93" s="306" t="s">
        <v>1569</v>
      </c>
      <c r="C93" s="306" t="s">
        <v>1570</v>
      </c>
      <c r="D93" s="307" t="s">
        <v>1610</v>
      </c>
      <c r="E93" s="307" t="s">
        <v>1585</v>
      </c>
      <c r="F93" s="308" t="s">
        <v>1608</v>
      </c>
    </row>
    <row r="94" spans="1:6" ht="15">
      <c r="A94" s="494" t="s">
        <v>1614</v>
      </c>
      <c r="B94" s="167">
        <v>2.1</v>
      </c>
      <c r="C94" s="167">
        <v>3.2</v>
      </c>
      <c r="D94" s="167">
        <f>'Memória de Calculo'!C94*'Memória de Calculo'!B94</f>
        <v>6.720000000000001</v>
      </c>
      <c r="E94" s="167">
        <v>1</v>
      </c>
      <c r="F94" s="504">
        <f>'Memória de Calculo'!E94*'Memória de Calculo'!D94</f>
        <v>6.720000000000001</v>
      </c>
    </row>
    <row r="95" spans="1:6" s="142" customFormat="1" ht="15">
      <c r="A95" s="494" t="s">
        <v>1615</v>
      </c>
      <c r="B95" s="167"/>
      <c r="C95" s="167"/>
      <c r="D95" s="167"/>
      <c r="E95" s="167"/>
      <c r="F95" s="504"/>
    </row>
    <row r="96" spans="1:6" s="142" customFormat="1" ht="15">
      <c r="A96" s="503" t="s">
        <v>1613</v>
      </c>
      <c r="B96" s="299">
        <v>12</v>
      </c>
      <c r="C96" s="299">
        <v>0.6</v>
      </c>
      <c r="D96" s="299">
        <f>'Memória de Calculo'!C96*'Memória de Calculo'!B96</f>
        <v>7.199999999999999</v>
      </c>
      <c r="E96" s="299">
        <v>1</v>
      </c>
      <c r="F96" s="504">
        <f>'Memória de Calculo'!E96*'Memória de Calculo'!D96</f>
        <v>7.199999999999999</v>
      </c>
    </row>
    <row r="97" spans="1:6" s="142" customFormat="1" ht="15">
      <c r="A97" s="503" t="s">
        <v>1616</v>
      </c>
      <c r="B97" s="299">
        <v>0.5</v>
      </c>
      <c r="C97" s="299">
        <f>12+0.6</f>
        <v>12.6</v>
      </c>
      <c r="D97" s="299">
        <f>'Memória de Calculo'!C97*'Memória de Calculo'!B97</f>
        <v>6.3</v>
      </c>
      <c r="E97" s="299">
        <v>2</v>
      </c>
      <c r="F97" s="504">
        <f>'Memória de Calculo'!E97*'Memória de Calculo'!D97</f>
        <v>12.6</v>
      </c>
    </row>
    <row r="98" spans="1:6" s="142" customFormat="1" ht="15">
      <c r="A98" s="494" t="s">
        <v>1617</v>
      </c>
      <c r="B98" s="167"/>
      <c r="C98" s="167"/>
      <c r="D98" s="167">
        <v>13.55</v>
      </c>
      <c r="E98" s="167">
        <v>1</v>
      </c>
      <c r="F98" s="504">
        <f>'Memória de Calculo'!E98*'Memória de Calculo'!D98</f>
        <v>13.55</v>
      </c>
    </row>
    <row r="99" spans="1:6" ht="15" customHeight="1">
      <c r="A99" s="494" t="s">
        <v>1618</v>
      </c>
      <c r="B99" s="167"/>
      <c r="C99" s="167"/>
      <c r="D99" s="167"/>
      <c r="E99" s="167"/>
      <c r="F99" s="504"/>
    </row>
    <row r="100" spans="1:6" s="142" customFormat="1" ht="15">
      <c r="A100" s="503" t="s">
        <v>1619</v>
      </c>
      <c r="B100" s="299">
        <v>0.15</v>
      </c>
      <c r="C100" s="299">
        <v>0.4</v>
      </c>
      <c r="D100" s="299">
        <f>'Memória de Calculo'!C100*'Memória de Calculo'!B100</f>
        <v>0.06</v>
      </c>
      <c r="E100" s="299">
        <v>10</v>
      </c>
      <c r="F100" s="504">
        <f>'Memória de Calculo'!E100*'Memória de Calculo'!D100</f>
        <v>0.6</v>
      </c>
    </row>
    <row r="101" spans="1:6" s="142" customFormat="1" ht="15">
      <c r="A101" s="503" t="s">
        <v>1616</v>
      </c>
      <c r="B101" s="299">
        <v>0.35</v>
      </c>
      <c r="C101" s="299">
        <v>0.4</v>
      </c>
      <c r="D101" s="299">
        <f>'Memória de Calculo'!C101*'Memória de Calculo'!B101</f>
        <v>0.13999999999999999</v>
      </c>
      <c r="E101" s="299">
        <v>20</v>
      </c>
      <c r="F101" s="504">
        <f>'Memória de Calculo'!E101*'Memória de Calculo'!D101</f>
        <v>2.8</v>
      </c>
    </row>
    <row r="102" spans="1:6" s="142" customFormat="1" ht="25.5">
      <c r="A102" s="494" t="s">
        <v>1620</v>
      </c>
      <c r="B102" s="299"/>
      <c r="C102" s="299"/>
      <c r="D102" s="299">
        <v>2.8</v>
      </c>
      <c r="E102" s="299">
        <v>1</v>
      </c>
      <c r="F102" s="504">
        <f>'Memória de Calculo'!E102*'Memória de Calculo'!D102</f>
        <v>2.8</v>
      </c>
    </row>
    <row r="103" spans="1:6" s="142" customFormat="1" ht="15">
      <c r="A103" s="300"/>
      <c r="B103" s="301"/>
      <c r="C103" s="302"/>
      <c r="D103" s="302"/>
      <c r="E103" s="302"/>
      <c r="F103" s="303"/>
    </row>
    <row r="104" spans="1:6" ht="15" customHeight="1">
      <c r="A104" s="330" t="s">
        <v>388</v>
      </c>
      <c r="B104" s="768" t="s">
        <v>359</v>
      </c>
      <c r="C104" s="769"/>
      <c r="D104" s="769"/>
      <c r="E104" s="769"/>
      <c r="F104" s="770"/>
    </row>
    <row r="105" spans="1:6" ht="15">
      <c r="A105" s="494"/>
      <c r="B105" s="304" t="s">
        <v>1569</v>
      </c>
      <c r="C105" s="304" t="s">
        <v>1570</v>
      </c>
      <c r="D105" s="304" t="s">
        <v>1621</v>
      </c>
      <c r="E105" s="304"/>
      <c r="F105" s="502" t="s">
        <v>1608</v>
      </c>
    </row>
    <row r="106" spans="1:6" ht="25.5">
      <c r="A106" s="494" t="s">
        <v>1622</v>
      </c>
      <c r="B106" s="304">
        <v>23</v>
      </c>
      <c r="C106" s="304">
        <v>33</v>
      </c>
      <c r="D106" s="304">
        <f>2*('Memória de Calculo'!C106+'Memória de Calculo'!B106)</f>
        <v>112</v>
      </c>
      <c r="E106" s="304"/>
      <c r="F106" s="505">
        <f>'Memória de Calculo'!D106</f>
        <v>112</v>
      </c>
    </row>
    <row r="107" spans="1:6" s="142" customFormat="1" ht="15.75" thickBot="1">
      <c r="A107" s="506"/>
      <c r="B107" s="332"/>
      <c r="C107" s="332"/>
      <c r="D107" s="332"/>
      <c r="E107" s="332"/>
      <c r="F107" s="507"/>
    </row>
    <row r="108" spans="1:6" s="142" customFormat="1" ht="15.75" thickBot="1">
      <c r="A108" s="334" t="s">
        <v>393</v>
      </c>
      <c r="B108" s="756" t="s">
        <v>389</v>
      </c>
      <c r="C108" s="756"/>
      <c r="D108" s="756"/>
      <c r="E108" s="756"/>
      <c r="F108" s="756"/>
    </row>
    <row r="109" spans="1:6" s="142" customFormat="1" ht="15.75" thickBot="1">
      <c r="A109" s="335" t="s">
        <v>395</v>
      </c>
      <c r="B109" s="130" t="s">
        <v>392</v>
      </c>
      <c r="C109" s="470" t="s">
        <v>433</v>
      </c>
      <c r="D109" s="470"/>
      <c r="E109" s="773">
        <v>288</v>
      </c>
      <c r="F109" s="774"/>
    </row>
    <row r="110" spans="1:6" ht="51">
      <c r="A110" s="123"/>
      <c r="B110" s="4" t="s">
        <v>1729</v>
      </c>
      <c r="C110" s="200" t="s">
        <v>433</v>
      </c>
      <c r="D110" s="200">
        <v>288</v>
      </c>
      <c r="E110" s="124"/>
      <c r="F110" s="125"/>
    </row>
    <row r="111" spans="1:6" ht="15">
      <c r="A111" s="300"/>
      <c r="B111" s="301"/>
      <c r="C111" s="302"/>
      <c r="D111" s="302"/>
      <c r="E111" s="302"/>
      <c r="F111" s="303"/>
    </row>
    <row r="112" spans="1:6" ht="15">
      <c r="A112" s="331" t="s">
        <v>1726</v>
      </c>
      <c r="B112" s="768" t="s">
        <v>394</v>
      </c>
      <c r="C112" s="769"/>
      <c r="D112" s="769"/>
      <c r="E112" s="769"/>
      <c r="F112" s="770"/>
    </row>
    <row r="113" spans="1:6" ht="15">
      <c r="A113" s="294" t="s">
        <v>1623</v>
      </c>
      <c r="B113" s="295"/>
      <c r="C113" s="295"/>
      <c r="D113" s="295"/>
      <c r="E113" s="296" t="s">
        <v>26</v>
      </c>
      <c r="F113" s="297">
        <f>SUM('Memória de Calculo'!F115:F118)</f>
        <v>574.62</v>
      </c>
    </row>
    <row r="114" spans="1:6" ht="15">
      <c r="A114" s="494" t="s">
        <v>1609</v>
      </c>
      <c r="B114" s="468" t="s">
        <v>1569</v>
      </c>
      <c r="C114" s="468" t="s">
        <v>1570</v>
      </c>
      <c r="D114" s="298" t="s">
        <v>1610</v>
      </c>
      <c r="E114" s="298" t="s">
        <v>1585</v>
      </c>
      <c r="F114" s="502" t="s">
        <v>1608</v>
      </c>
    </row>
    <row r="115" spans="1:6" ht="15">
      <c r="A115" s="503" t="s">
        <v>1611</v>
      </c>
      <c r="B115" s="299"/>
      <c r="C115" s="299"/>
      <c r="D115" s="299">
        <v>41.21</v>
      </c>
      <c r="E115" s="299">
        <v>2</v>
      </c>
      <c r="F115" s="504">
        <f>'Memória de Calculo'!E115*'Memória de Calculo'!D115</f>
        <v>82.42</v>
      </c>
    </row>
    <row r="116" spans="1:6" ht="15">
      <c r="A116" s="503" t="s">
        <v>1612</v>
      </c>
      <c r="B116" s="299">
        <v>16</v>
      </c>
      <c r="C116" s="299">
        <v>1.6</v>
      </c>
      <c r="D116" s="299">
        <f>'Memória de Calculo'!C116*'Memória de Calculo'!B116</f>
        <v>25.6</v>
      </c>
      <c r="E116" s="299">
        <v>2</v>
      </c>
      <c r="F116" s="504">
        <f>'Memória de Calculo'!E116*'Memória de Calculo'!D116</f>
        <v>51.2</v>
      </c>
    </row>
    <row r="117" spans="1:6" ht="15">
      <c r="A117" s="503" t="s">
        <v>1613</v>
      </c>
      <c r="B117" s="299">
        <v>16</v>
      </c>
      <c r="C117" s="299">
        <v>25</v>
      </c>
      <c r="D117" s="299">
        <f>'Memória de Calculo'!C117*'Memória de Calculo'!B117</f>
        <v>400</v>
      </c>
      <c r="E117" s="299">
        <v>1</v>
      </c>
      <c r="F117" s="504">
        <f>'Memória de Calculo'!E117*'Memória de Calculo'!D117</f>
        <v>400</v>
      </c>
    </row>
    <row r="118" spans="1:6" ht="15">
      <c r="A118" s="494" t="s">
        <v>1624</v>
      </c>
      <c r="B118" s="167">
        <f>(16+25)*2</f>
        <v>82</v>
      </c>
      <c r="C118" s="167">
        <v>0.5</v>
      </c>
      <c r="D118" s="299">
        <f>'Memória de Calculo'!C118*'Memória de Calculo'!B118</f>
        <v>41</v>
      </c>
      <c r="E118" s="299">
        <v>1</v>
      </c>
      <c r="F118" s="504">
        <f>'Memória de Calculo'!E118*'Memória de Calculo'!D118</f>
        <v>41</v>
      </c>
    </row>
    <row r="119" spans="1:6" ht="15">
      <c r="A119" s="286"/>
      <c r="B119" s="141"/>
      <c r="C119" s="141"/>
      <c r="D119" s="141"/>
      <c r="E119" s="141"/>
      <c r="F119" s="284"/>
    </row>
    <row r="120" spans="1:6" ht="15">
      <c r="A120" s="286"/>
      <c r="B120" s="141"/>
      <c r="C120" s="141"/>
      <c r="D120" s="141"/>
      <c r="E120" s="141"/>
      <c r="F120" s="284"/>
    </row>
    <row r="121" spans="1:6" ht="15">
      <c r="A121" s="761" t="s">
        <v>404</v>
      </c>
      <c r="B121" s="712"/>
      <c r="C121" s="712"/>
      <c r="D121" s="712"/>
      <c r="E121" s="712"/>
      <c r="F121" s="762"/>
    </row>
    <row r="122" spans="1:6" ht="15">
      <c r="A122" s="761" t="s">
        <v>523</v>
      </c>
      <c r="B122" s="712"/>
      <c r="C122" s="712"/>
      <c r="D122" s="712"/>
      <c r="E122" s="712"/>
      <c r="F122" s="762"/>
    </row>
    <row r="123" spans="1:6" ht="15">
      <c r="A123" s="761" t="s">
        <v>406</v>
      </c>
      <c r="B123" s="712"/>
      <c r="C123" s="712"/>
      <c r="D123" s="712"/>
      <c r="E123" s="712"/>
      <c r="F123" s="762"/>
    </row>
    <row r="124" spans="1:6" ht="15">
      <c r="A124" s="761" t="s">
        <v>407</v>
      </c>
      <c r="B124" s="712"/>
      <c r="C124" s="712"/>
      <c r="D124" s="712"/>
      <c r="E124" s="712"/>
      <c r="F124" s="762"/>
    </row>
    <row r="125" spans="1:6" ht="15.75" thickBot="1">
      <c r="A125" s="763" t="s">
        <v>1652</v>
      </c>
      <c r="B125" s="764"/>
      <c r="C125" s="764"/>
      <c r="D125" s="764"/>
      <c r="E125" s="764"/>
      <c r="F125" s="765"/>
    </row>
    <row r="126" spans="1:6" ht="15.75" thickBot="1">
      <c r="A126" s="289"/>
      <c r="B126" s="290"/>
      <c r="C126" s="290"/>
      <c r="D126" s="290"/>
      <c r="E126" s="290"/>
      <c r="F126" s="291"/>
    </row>
  </sheetData>
  <sheetProtection/>
  <mergeCells count="48">
    <mergeCell ref="G74:G78"/>
    <mergeCell ref="B85:F85"/>
    <mergeCell ref="B73:F73"/>
    <mergeCell ref="E25:F25"/>
    <mergeCell ref="B57:E57"/>
    <mergeCell ref="B58:E58"/>
    <mergeCell ref="L22:M22"/>
    <mergeCell ref="E18:F18"/>
    <mergeCell ref="E15:F15"/>
    <mergeCell ref="E30:F30"/>
    <mergeCell ref="A121:F121"/>
    <mergeCell ref="B49:F49"/>
    <mergeCell ref="B47:F47"/>
    <mergeCell ref="A50:F50"/>
    <mergeCell ref="E20:F20"/>
    <mergeCell ref="E37:F37"/>
    <mergeCell ref="A122:F122"/>
    <mergeCell ref="A123:F123"/>
    <mergeCell ref="A124:F124"/>
    <mergeCell ref="A125:F125"/>
    <mergeCell ref="A86:D86"/>
    <mergeCell ref="B104:F104"/>
    <mergeCell ref="B112:F112"/>
    <mergeCell ref="A92:D92"/>
    <mergeCell ref="B108:F108"/>
    <mergeCell ref="E109:F109"/>
    <mergeCell ref="I21:M21"/>
    <mergeCell ref="A6:F6"/>
    <mergeCell ref="A7:F7"/>
    <mergeCell ref="A8:F8"/>
    <mergeCell ref="A9:F9"/>
    <mergeCell ref="A11:F11"/>
    <mergeCell ref="E12:F12"/>
    <mergeCell ref="A1:F1"/>
    <mergeCell ref="A2:F2"/>
    <mergeCell ref="A3:F3"/>
    <mergeCell ref="A4:F4"/>
    <mergeCell ref="A5:F5"/>
    <mergeCell ref="B14:F14"/>
    <mergeCell ref="B65:E65"/>
    <mergeCell ref="B64:E64"/>
    <mergeCell ref="B66:E66"/>
    <mergeCell ref="B67:E67"/>
    <mergeCell ref="B59:E59"/>
    <mergeCell ref="B60:E60"/>
    <mergeCell ref="B61:E61"/>
    <mergeCell ref="B62:E62"/>
    <mergeCell ref="B63:E63"/>
  </mergeCells>
  <printOptions/>
  <pageMargins left="0.511805555555555" right="0.511805555555555" top="0.7875" bottom="0.7875" header="0.511805555555555" footer="0.511805555555555"/>
  <pageSetup fitToHeight="0" fitToWidth="1" horizontalDpi="600" verticalDpi="600" orientation="portrait" paperSize="9" scale="88" r:id="rId2"/>
  <rowBreaks count="1" manualBreakCount="1">
    <brk id="85"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c:creator>
  <cp:keywords/>
  <dc:description/>
  <cp:lastModifiedBy>Campus Maceió</cp:lastModifiedBy>
  <cp:lastPrinted>2018-02-15T19:17:57Z</cp:lastPrinted>
  <dcterms:created xsi:type="dcterms:W3CDTF">2015-05-20T20:47:47Z</dcterms:created>
  <dcterms:modified xsi:type="dcterms:W3CDTF">2018-02-15T19:28:11Z</dcterms:modified>
  <cp:category/>
  <cp:version/>
  <cp:contentType/>
  <cp:contentStatus/>
  <cp:revision>33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