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40" windowWidth="16380" windowHeight="7650" tabRatio="894" activeTab="5"/>
  </bookViews>
  <sheets>
    <sheet name="PLANILHA UNIFICADA" sheetId="1" r:id="rId1"/>
    <sheet name="COMPOSIÇÕES IFAL" sheetId="2" r:id="rId2"/>
    <sheet name="Memória de cálculos" sheetId="3" r:id="rId3"/>
    <sheet name="CRONOGRAMA" sheetId="4" r:id="rId4"/>
    <sheet name="Cálculo BDI" sheetId="5" r:id="rId5"/>
    <sheet name="curva abc" sheetId="6" r:id="rId6"/>
  </sheets>
  <externalReferences>
    <externalReference r:id="rId9"/>
    <externalReference r:id="rId10"/>
  </externalReferences>
  <definedNames>
    <definedName name="__shared_13_0_0">ROUND("$#REF!.A1*$#REF!.B1;2))))))))))))))))))))))))",0)</definedName>
    <definedName name="_0">#REF!</definedName>
    <definedName name="_xlnm.Print_Area" localSheetId="1">'COMPOSIÇÕES IFAL'!$A$1:$F$227</definedName>
    <definedName name="_xlnm.Print_Area" localSheetId="3">'CRONOGRAMA'!$A$2:$M$39</definedName>
    <definedName name="_xlnm.Print_Area" localSheetId="5">'curva abc'!$A$16:$G$95</definedName>
    <definedName name="_xlnm.Print_Area" localSheetId="2">'Memória de cálculos'!$A$2:$D$63</definedName>
    <definedName name="_xlnm.Print_Area" localSheetId="0">'PLANILHA UNIFICADA'!$A$3:$G$108</definedName>
    <definedName name="COTAÇÕES">#REF!</definedName>
    <definedName name="Excel_BuiltIn_Print_Area_1">#REF!</definedName>
    <definedName name="SHARED_FORMULA_17_19_17_19_5">SUM("$#REF!.A1:A2))))))))))))))))))))))))")</definedName>
    <definedName name="SHARED_FORMULA_17_20_17_20_5">"$#REF!.A1/$#REF!.$O$15"</definedName>
    <definedName name="SHARED_FORMULA_2_40_2_40_5">"$#REF!.A2/$#REF!.$O$41"</definedName>
    <definedName name="SHARED_FORMULA_2_43_2_43_5">"$#REF!.A1/$#REF!.$O$43"</definedName>
    <definedName name="SHARED_FORMULA_2_46_2_46_5">"$#REF!.A2*$#REF!.$O$47"</definedName>
    <definedName name="SHARED_FORMULA_2_47_2_47_5">"$#REF!.A1"</definedName>
    <definedName name="SHARED_FORMULA_2_49_2_49_5">"$#REF!.A1/$#REF!.$O$47"</definedName>
    <definedName name="SHARED_FORMULA_2_8_2_8_5">"$#REF!.A2/$#REF!.$O$9"</definedName>
    <definedName name="SHARED_FORMULA_3_44_3_44_5">"$#REF!.A3+$#REF!.B1"</definedName>
    <definedName name="SHARED_FORMULA_3_45_3_45_5">"$#REF!.A3+$#REF!.B1"</definedName>
    <definedName name="SHARED_FORMULA_3_48_3_48_5">"$#REF!.A3+$#REF!.B1"</definedName>
    <definedName name="SHARED_FORMULA_4_1277_4_1277_2">220*12</definedName>
    <definedName name="SHARED_FORMULA_5_20_5_20_3">ROUND("$#REF!.A1*$#REF!.B1;2))))))))))))))))))))))))",0)</definedName>
    <definedName name="SHARED_FORMULA_6_114_6_114_2">"$#REF!.A1*$#REF!.B1"</definedName>
    <definedName name="SHARED_FORMULA_6_1277_6_1277_2">ROUND("$#REF!.A1*$#REF!.B1;2))))))))))))))))))))))))",0)</definedName>
    <definedName name="SHARED_FORMULA_6_1287_6_1287_2">ROUND("$#REF!.A1*$#REF!.B1;2))))))))))))))))))))))))",0)</definedName>
    <definedName name="SHARED_FORMULA_6_13_6_13_1">ROUND("$#REF!.B1*$#REF!.A1;2))))))))))))))))))))))))",0)</definedName>
    <definedName name="SHARED_FORMULA_6_1310_6_1310_2">"$#REF!.A1*$#REF!.B1"</definedName>
    <definedName name="SHARED_FORMULA_6_135_6_135_1">ROUND("$#REF!.A1*$#REF!.B1;2))))))))))))))))))))))))",0)</definedName>
    <definedName name="SHARED_FORMULA_6_145_6_145_1">ROUND("$#REF!.A1*$#REF!.B1;2))))))))))))))))))))))))",0)</definedName>
    <definedName name="SHARED_FORMULA_6_177_6_177_1">ROUND("$#REF!.A1*$#REF!.B1;2))))))))))))))))))))))))",0)</definedName>
    <definedName name="SHARED_FORMULA_6_202_6_202_2">ROUND("$#REF!.A1*$#REF!.B1;2))))))))))))))))))))))))",0)</definedName>
    <definedName name="SHARED_FORMULA_6_209_6_209_1">ROUND("$#REF!.A1*$#REF!.B1;2))))))))))))))))))))))))",0)</definedName>
    <definedName name="SHARED_FORMULA_6_238_6_238_1">ROUND("$#REF!.A1*$#REF!.B1;2))))))))))))))))))))))))",0)</definedName>
    <definedName name="SHARED_FORMULA_6_260_6_260_1">ROUND("$#REF!.A1*$#REF!.B1;2))))))))))))))))))))))))",0)</definedName>
    <definedName name="SHARED_FORMULA_6_276_6_276_1">ROUND("$#REF!.A1*$#REF!.B1;2))))))))))))))))))))))))",0)</definedName>
    <definedName name="SHARED_FORMULA_6_311_6_311_1">ROUND("$#REF!.A1*$#REF!.B1;2))))))))))))))))))))))))",0)</definedName>
    <definedName name="SHARED_FORMULA_6_34_6_34_2">ROUND("$#REF!.B1*$#REF!.A1;2))))))))))))))))))))))))",0)</definedName>
    <definedName name="SHARED_FORMULA_6_344_6_344_1">ROUND("$#REF!.A1*$#REF!.B1;2))))))))))))))))))))))))",0)</definedName>
    <definedName name="SHARED_FORMULA_6_374_6_374_1">ROUND("$#REF!.A1*$#REF!.B1;2))))))))))))))))))))))))",0)</definedName>
    <definedName name="SHARED_FORMULA_6_418_6_418_1">ROUND("$#REF!.A1*$#REF!.B1;2))))))))))))))))))))))))",0)</definedName>
    <definedName name="SHARED_FORMULA_6_430_6_430_2">"$#REF!.A1*$#REF!.B1"</definedName>
    <definedName name="SHARED_FORMULA_6_437_6_437_1">ROUND("$#REF!.A1*$#REF!.B1;2))))))))))))))))))))))))",0)</definedName>
    <definedName name="SHARED_FORMULA_6_457_6_457_1">ROUND("$#REF!.A1*$#REF!.B1;2))))))))))))))))))))))))",0)</definedName>
    <definedName name="SHARED_FORMULA_6_474_6_474_1">ROUND("$#REF!.A1*$#REF!.B1;2))))))))))))))))))))))))",0)</definedName>
    <definedName name="SHARED_FORMULA_6_48_6_48_1">ROUND("$#REF!.A1*$#REF!.B1;2))))))))))))))))))))))))",0)</definedName>
    <definedName name="SHARED_FORMULA_6_480_6_480_2">"$#REF!.A1*$#REF!.B1"</definedName>
    <definedName name="SHARED_FORMULA_6_483_6_483_1">ROUND("$#REF!.A1*$#REF!.B1;2))))))))))))))))))))))))",0)</definedName>
    <definedName name="SHARED_FORMULA_6_495_6_495_1">ROUND("$#REF!.A1*$#REF!.B1;2))))))))))))))))))))))))",0)</definedName>
    <definedName name="SHARED_FORMULA_6_499_6_499_2">"$#REF!.A1*$#REF!.B1"</definedName>
    <definedName name="SHARED_FORMULA_6_512_6_512_1">ROUND("$#REF!.A1*$#REF!.B1;2))))))))))))))))))))))))",0)</definedName>
    <definedName name="SHARED_FORMULA_6_517_6_517_2">"$#REF!.A1*$#REF!.B1"</definedName>
    <definedName name="SHARED_FORMULA_6_519_6_519_1">ROUND("$#REF!.A1*$#REF!.B1;2))))))))))))))))))))))))",0)</definedName>
    <definedName name="SHARED_FORMULA_6_529_6_529_1">ROUND("$#REF!.A1*$#REF!.B1;2))))))))))))))))))))))))",0)</definedName>
    <definedName name="SHARED_FORMULA_6_534_6_534_2">"$#REF!.A1*$#REF!.B1"</definedName>
    <definedName name="SHARED_FORMULA_6_539_6_539_1">ROUND("$#REF!.A1*$#REF!.B1;2))))))))))))))))))))))))",0)</definedName>
    <definedName name="SHARED_FORMULA_6_554_6_554_1">ROUND("$#REF!.A1*$#REF!.B1;2))))))))))))))))))))))))",0)</definedName>
    <definedName name="SHARED_FORMULA_6_592_6_592_2">"$#REF!.A1*$#REF!.B1"</definedName>
    <definedName name="SHARED_FORMULA_6_602_6_602_1">ROUND("$#REF!.A1*$#REF!.B1;2))))))))))))))))))))))))",0)</definedName>
    <definedName name="SHARED_FORMULA_6_63_6_63_1">ROUND("$#REF!.A1*$#REF!.B1;2))))))))))))))))))))))))",0)</definedName>
    <definedName name="SHARED_FORMULA_6_639_6_639_1">ROUND("$#REF!.A1*$#REF!.B1;2))))))))))))))))))))))))",0)</definedName>
    <definedName name="SHARED_FORMULA_6_649_6_649_1">ROUND("$#REF!.A1*$#REF!.B1;2))))))))))))))))))))))))",0)</definedName>
    <definedName name="SHARED_FORMULA_6_669_6_669_1">ROUND("$#REF!.A1*$#REF!.B1;2))))))))))))))))))))))))",0)</definedName>
    <definedName name="SHARED_FORMULA_6_700_6_700_1">ROUND("$#REF!.A1*$#REF!.B1;2))))))))))))))))))))))))",0)</definedName>
    <definedName name="SHARED_FORMULA_6_724_6_724_1">ROUND("$#REF!.A1*$#REF!.B1;2))))))))))))))))))))))))",0)</definedName>
    <definedName name="SHARED_FORMULA_6_75_6_75_1">ROUND("$#REF!.A1*$#REF!.B1;2))))))))))))))))))))))))",0)</definedName>
    <definedName name="SHARED_FORMULA_6_750_6_750_1">ROUND("$#REF!.A1*$#REF!.B1;2))))))))))))))))))))))))",0)</definedName>
    <definedName name="SHARED_FORMULA_6_78_6_78_2">"$#REF!.A1*$#REF!.B1"</definedName>
    <definedName name="SHARED_FORMULA_6_881_6_881_2">"$#REF!.A1*$#REF!.B1"</definedName>
    <definedName name="SHARED_FORMULA_6_90_6_90_1">ROUND("$#REF!.A1*$#REF!.B1;2))))))))))))))))))))))))",0)</definedName>
    <definedName name="TESTE">#REF!</definedName>
  </definedNames>
  <calcPr fullCalcOnLoad="1"/>
</workbook>
</file>

<file path=xl/sharedStrings.xml><?xml version="1.0" encoding="utf-8"?>
<sst xmlns="http://schemas.openxmlformats.org/spreadsheetml/2006/main" count="1572" uniqueCount="534">
  <si>
    <t xml:space="preserve">MÊS DE REFERÊNCIA: </t>
  </si>
  <si>
    <t>ITEM</t>
  </si>
  <si>
    <t>CÓDIGO</t>
  </si>
  <si>
    <t>DESCRIÇÃO</t>
  </si>
  <si>
    <t>UNID.</t>
  </si>
  <si>
    <t>QUANT.</t>
  </si>
  <si>
    <t>PREÇO</t>
  </si>
  <si>
    <t>UNITÁRIO</t>
  </si>
  <si>
    <t>TOTAL</t>
  </si>
  <si>
    <t>1.1</t>
  </si>
  <si>
    <t>und</t>
  </si>
  <si>
    <t>CONJUNTO DE MANGUEIRA PARA COMBATE A INCENDIO EM FIBRA DE POLIESTER PURA, COM 1.1/2", REVESTIDA INTERNAMENTE, COM 2 LANCES DE 15M CADA</t>
  </si>
  <si>
    <t>74169/001</t>
  </si>
  <si>
    <t>m</t>
  </si>
  <si>
    <t>m²</t>
  </si>
  <si>
    <t>73795/013</t>
  </si>
  <si>
    <t>un</t>
  </si>
  <si>
    <t>PLACA DE SINALIZAÇÃO FOTOLUMINESCENTE DE SAÍDA DE EMERGÊNCIA</t>
  </si>
  <si>
    <t>TOTAL GERAL DA OBRA</t>
  </si>
  <si>
    <t>COMPOSIÇÕES DE PREÇO UNITÁRIO</t>
  </si>
  <si>
    <t>UNIDADE</t>
  </si>
  <si>
    <t>COEFICIENTE</t>
  </si>
  <si>
    <t>h</t>
  </si>
  <si>
    <t>PESQUISA MERCADO</t>
  </si>
  <si>
    <t>TOTAL (A)</t>
  </si>
  <si>
    <t>PREÇO UNITÁRIO TOTAL (und)</t>
  </si>
  <si>
    <t>(A) MÃO-DE-OBRA</t>
  </si>
  <si>
    <t>(B) MATERIAL</t>
  </si>
  <si>
    <t>TOTAL (B)</t>
  </si>
  <si>
    <t>74064/001</t>
  </si>
  <si>
    <t>CENTRAL DE DETECÇÃO E ALARME</t>
  </si>
  <si>
    <t>ADAPTAÇÃO DAS PORTAS PARA SAÍDAS DE EMERGÊNCIA</t>
  </si>
  <si>
    <t>ALTERAÇÃO DO SENTIDO DE ABERTURA DAS PORTAS QUE SERVIRÃO COMO SAÍDAS DE EMERGÊNCIA</t>
  </si>
  <si>
    <t>RETIRADA DE FOLHAS DE PORTA DE PASSAGEM</t>
  </si>
  <si>
    <t>un.</t>
  </si>
  <si>
    <t>RETIRADA DE BATENTES DE MADEIRA</t>
  </si>
  <si>
    <t>RECOLOCACAO DE FOLHAS DE PORTA DE PASSAGEM OU JANELA, CONSIDERANDO REAPROVEITAMENTO DO MATERIAL</t>
  </si>
  <si>
    <t>RECOLOCACAO DE BATENTES DE MADEIRA, CONSIDERANDO REAPROVEITAMENTO DE MATERIAL</t>
  </si>
  <si>
    <t>AVISADOR AUDIOVISUAL DE INCÊNDIO - ENDEREÇÁVEL</t>
  </si>
  <si>
    <t>1.2</t>
  </si>
  <si>
    <t>1.3</t>
  </si>
  <si>
    <t>1.4</t>
  </si>
  <si>
    <t>1.5</t>
  </si>
  <si>
    <t>1.6</t>
  </si>
  <si>
    <t>1.8</t>
  </si>
  <si>
    <t>1.9</t>
  </si>
  <si>
    <t>INSTITUTO FEDERAL DE ALAGOAS - IFAL</t>
  </si>
  <si>
    <t>CAMPUS SATUBA</t>
  </si>
  <si>
    <t>2.1</t>
  </si>
  <si>
    <t>PLANILHA DE ORÇAMENTO</t>
  </si>
  <si>
    <t>Data Referência do SINAPI</t>
  </si>
  <si>
    <t>Data Referência do ORSE</t>
  </si>
  <si>
    <t>SERVIÇOS PRELIMINARES</t>
  </si>
  <si>
    <t>74209/001</t>
  </si>
  <si>
    <t>Placa da obra</t>
  </si>
  <si>
    <t>Administração da obra</t>
  </si>
  <si>
    <t>UND</t>
  </si>
  <si>
    <t>73847/001</t>
  </si>
  <si>
    <t>Aluguel de container para almoxarifado em chapa de aço com  nervuras trapezoidais,  2,4 m de largura, 6,20 m de comprimento e 2,4 m de altura, incluso transporte</t>
  </si>
  <si>
    <t>mês</t>
  </si>
  <si>
    <t>73847/002</t>
  </si>
  <si>
    <t>Aluguel de container para vestiário em chapa de aço com  nervuras trapezoidais, contendo três lavatórios, quatro cabines com vasos sanitários e quatro cabines de chuveiros, incluso transporte</t>
  </si>
  <si>
    <t>T x km</t>
  </si>
  <si>
    <t>PPRA</t>
  </si>
  <si>
    <t>1.7</t>
  </si>
  <si>
    <t>PGRCC</t>
  </si>
  <si>
    <t xml:space="preserve">Projeto as built </t>
  </si>
  <si>
    <t>CREA/AL</t>
  </si>
  <si>
    <t>ART/RRT</t>
  </si>
  <si>
    <t>DEMOLIÇÕES E RETIRADAS</t>
  </si>
  <si>
    <t>73790/001</t>
  </si>
  <si>
    <t>Retirada, limpeza e reassentamento de paralelepípedo sobre colchão de pó de pedra, espessura 10cm, rejuntado com betume e pedrisco, considerando aproveitamento do paralelepípedo</t>
  </si>
  <si>
    <t>2.2</t>
  </si>
  <si>
    <t>Demolição de concreto simples</t>
  </si>
  <si>
    <t>m³</t>
  </si>
  <si>
    <t>2.3</t>
  </si>
  <si>
    <t>Retirada de forro em reguas de pvc, inclusive retirada de perfis</t>
  </si>
  <si>
    <t>Retirada de forro de madeira em tabuas</t>
  </si>
  <si>
    <t>Demolicao de forro de gesso</t>
  </si>
  <si>
    <t>2.6</t>
  </si>
  <si>
    <t>Carga manual de entulho em caminhão basculante</t>
  </si>
  <si>
    <t>Transporte com caminhão basculante 6 m³, rodovia pavimentada</t>
  </si>
  <si>
    <t>m³xKm</t>
  </si>
  <si>
    <t>ESCAVAÇÕES E CALÇAMENTO</t>
  </si>
  <si>
    <t>3.1</t>
  </si>
  <si>
    <t>Escavacao manual campo aberto em solo exceto rocha ate 2,00m profundidade</t>
  </si>
  <si>
    <t>3.2</t>
  </si>
  <si>
    <t>73892/001</t>
  </si>
  <si>
    <t>INSTALAÇÕES ELÉTRICAS</t>
  </si>
  <si>
    <t>4.1</t>
  </si>
  <si>
    <t>Ponto de tomada 2p+t de sobrepor, 10 A, de uso geral, ABNT, c/canaleta plastica 20x10mm,"Sistema X", inclusive aterramento</t>
  </si>
  <si>
    <t>PT</t>
  </si>
  <si>
    <t>4.3</t>
  </si>
  <si>
    <t>unid</t>
  </si>
  <si>
    <t>4.4</t>
  </si>
  <si>
    <t>7860/ORSE</t>
  </si>
  <si>
    <t>unid.</t>
  </si>
  <si>
    <t>SISTEMA DE DETECÇÃO DE FUMAÇA E DE ALARME</t>
  </si>
  <si>
    <t>5.1</t>
  </si>
  <si>
    <t>01507/ORSE</t>
  </si>
  <si>
    <t>DETECTOR DE FUMAÇA PONTUAL  ENDEREÇÁVEL</t>
  </si>
  <si>
    <t>5.2</t>
  </si>
  <si>
    <t xml:space="preserve">CONDULETE 3/4" EM LIGA DE ALUMÍNIO FUNDIDO  - FORNECIMENTO E INSTALAÇÃO </t>
  </si>
  <si>
    <t>RESERVATÓRIO DE ÁGUA (REDE DE ALIMENTAÇÃO DOS HIDRANTES)</t>
  </si>
  <si>
    <t>6.1</t>
  </si>
  <si>
    <t>6.2</t>
  </si>
  <si>
    <t>6.3</t>
  </si>
  <si>
    <t>01432/ORSE</t>
  </si>
  <si>
    <t xml:space="preserve"> Caixa d´água em fibra de vidro - instalada, sem estrutura de suporte cap. 10.000 litros</t>
  </si>
  <si>
    <t>10332/ORSE</t>
  </si>
  <si>
    <t>TAMPA EM FERRO FUNDIDO (0,40 x 0,60) PARA HIDRANTE DE PASSEIO/RECALQUE</t>
  </si>
  <si>
    <t>VÁLVULA DE RETENÇÃO HORIZONTAL OU VERTICAL Ø 2.1/2"</t>
  </si>
  <si>
    <t>FLANGE PARA CAIXA D'AGUA EM FERRO MALEÁVEL  Ø 2.1/2"</t>
  </si>
  <si>
    <t>Válvula de fluxo contínuo galvanizada (p/ incendio)</t>
  </si>
  <si>
    <t>CAIXA DE AREIA 60X60X60 CM EM ALVENARIA EXECUÇÃO</t>
  </si>
  <si>
    <t>EXTINTORES E SINALIZAÇÃO</t>
  </si>
  <si>
    <t>7.1</t>
  </si>
  <si>
    <t>7.2</t>
  </si>
  <si>
    <t>EXTINTOR DE INCÊNDIO  PÓ QUÍMICO ABC - 6Kg - FORNECIMENTO E INSTALAÇÃO, INCLUSO PLACAS DE SINALIZAÇÃO</t>
  </si>
  <si>
    <t>SINALIZACAO HORIZONTAL COM TINTA RETRORREFLETIVA VERMELHA A BASE DE RESINA ACRILICA COM MICROESFERAS DE VIDRO</t>
  </si>
  <si>
    <t>SINALIZACAO HORIZONTAL COM TINTA RETRORREFLETIVA AMARELA A BASE DE RESINA ACRILICA COM MICROESFERAS DE VIDRO</t>
  </si>
  <si>
    <t>SERVIÇOS COMPLEMENTARES</t>
  </si>
  <si>
    <t>8.1</t>
  </si>
  <si>
    <t>4449/ORSE</t>
  </si>
  <si>
    <t>Forro de pvc, em réguas de 10 ou 20 cm, aplicado, incluisve estrutura para fixação (perfis Forro de pvc, em réguas de 10 ou 20 cm, aplicado, inclusive estrutura de fixação (perfis PVC Plastilon) ref:Araforros ou similar</t>
  </si>
  <si>
    <t>M²</t>
  </si>
  <si>
    <t>8.2</t>
  </si>
  <si>
    <t>Execução de passeio (calçada) em concreto (cimento/areia/seixo rolado), preparo mecânico, espessura 7cm, com junta de dilatação em madeira, incluso lançamento e adensamento</t>
  </si>
  <si>
    <t>Luminária autônoma de emergência 2x55w (com 2 faróis) com autonomia para 2 horas</t>
  </si>
  <si>
    <t xml:space="preserve">PINTURA FUNDO OXIDO FERRO/ZARCAO - FUNDO ANTICORROSIVO A BASE DE OXIDO DE FERRO (ZARCAO), DUAS DEMAOS - PARA ABRIGOS DE HIDRANTES </t>
  </si>
  <si>
    <t xml:space="preserve">REGISTRO/VALVULA GLOBO ANGULAR 45 GRAUS EM LATAO PARA HIDRANTES DE INCÊNDIO PREDIAL DN 2.1/2" - FORNECIMENTO E INSTALACAO </t>
  </si>
  <si>
    <t>PLACA DE SINALIZAÇÃO DE ABANDONO (FOTOLUMINESCENTE DE SAÍDA DE EMERGÊNCIA)</t>
  </si>
  <si>
    <r>
      <t>EXTINTOR DE INCÊNDIO GÁS CARBÔNICO (CO2) - 6Kg - FORNECIMENTO E INSTALAÇÃO, INCLUSO PLACAS DE SINALIZAÇÃO</t>
    </r>
    <r>
      <rPr>
        <sz val="9"/>
        <color indexed="10"/>
        <rFont val="Arial"/>
        <family val="2"/>
      </rPr>
      <t xml:space="preserve"> </t>
    </r>
  </si>
  <si>
    <t>9.1</t>
  </si>
  <si>
    <t>Central de alarme e detecção de incendio, capacidade: 2 baterias, 22 laços, com 2 linhas, ENDEREÇÁVEL, Verin ou similar</t>
  </si>
  <si>
    <t>Escavação Mecânica vala não escorada - material de 1ª c/ Retro entre 1,50 e 3,00 metros c/ redutor, excluindo esgotamento - Fundação reservatório</t>
  </si>
  <si>
    <t xml:space="preserve">MANOMETRO 0 A 200 PSI (0 A 14 KGF/CM2), D = 50MM - FORNECIMENTO E COLOCAÇÃO </t>
  </si>
  <si>
    <t>74178/001</t>
  </si>
  <si>
    <t xml:space="preserve">REGISTRO GAVETA 4" BRUTO LATAO - FORNECIMENTO E INSTALACAO </t>
  </si>
  <si>
    <t>74180/001</t>
  </si>
  <si>
    <t xml:space="preserve">REGISTRO GAVETA 2.1/2" BRUTO LATAO - FORNECIMENTO E INSTALACAO </t>
  </si>
  <si>
    <t>74072/001</t>
  </si>
  <si>
    <t>AQUISIÇÃO E INSTALAÇÃO DE BOMBA CENTRIFUGA TRIFÁSICA 15 CV - INCÊNDIO</t>
  </si>
  <si>
    <t>AQUISIÇÃO E INSTALAÇÃO DE BOMBA CENTRIFUGA PARA INCÊNDIO DE 15 CV ELÉTRICA - 220/380V</t>
  </si>
  <si>
    <t>BOMBA CENTRÍFUGA TRIFÁSICA 15 CV - 220/380V</t>
  </si>
  <si>
    <t>73792/001</t>
  </si>
  <si>
    <t xml:space="preserve">FORRO EM PLACAS PRE-MOLDADAS DE GESSO LISO, BISOTADO, 60X60CM COM ESPESSURA CENTRAL DE 1,2CM E NAS BORDAS 3,0CM, INCLUSO FIXAÇÃO COM ARAME E ESTRUTURA DE MADEIRA </t>
  </si>
  <si>
    <t>FORRO DE MADEIRA COM TABUAS 10X1CM FIXADAS EM SARRAFOS DE 2X10CM COM ESPAÇAMENTO DE 50,0CM</t>
  </si>
  <si>
    <t>Engenheiro junior</t>
  </si>
  <si>
    <t>Projetos as built (Incêndio)</t>
  </si>
  <si>
    <t>Desenhista detalhista</t>
  </si>
  <si>
    <t>CREA-AL</t>
  </si>
  <si>
    <t>ART</t>
  </si>
  <si>
    <t>MERCADO</t>
  </si>
  <si>
    <t>Custo com plotagem</t>
  </si>
  <si>
    <t>vb</t>
  </si>
  <si>
    <t>Avisador sonoro tipo sirene para incêndio</t>
  </si>
  <si>
    <t>7.3</t>
  </si>
  <si>
    <t>CRONOGRAMA FÍSICO-FINANCEIRO</t>
  </si>
  <si>
    <t>SERVIÇO</t>
  </si>
  <si>
    <t>R$ TOTAL S/ BDI</t>
  </si>
  <si>
    <t>R$ TOTAL C/ BDI</t>
  </si>
  <si>
    <t>%</t>
  </si>
  <si>
    <t>Mês</t>
  </si>
  <si>
    <t>Executado</t>
  </si>
  <si>
    <t>Acumulado</t>
  </si>
  <si>
    <t>Custo da obra: R$</t>
  </si>
  <si>
    <t>Instituto Federal de Alagoas - IFAL</t>
  </si>
  <si>
    <t>mês 1</t>
  </si>
  <si>
    <t>mês 2</t>
  </si>
  <si>
    <t>mês 1 a 4</t>
  </si>
  <si>
    <t>mês 3</t>
  </si>
  <si>
    <t>mês 4</t>
  </si>
  <si>
    <t>mês 2 e 3</t>
  </si>
  <si>
    <t>PINTURA</t>
  </si>
  <si>
    <t>FORROS</t>
  </si>
  <si>
    <t>Emassamento com massa pva, duas demaos, incluso lixamento</t>
  </si>
  <si>
    <t>Lixa em folha para parede ou madeira, numero 120 (cor vermelha)</t>
  </si>
  <si>
    <t>Massa corrida PVA para parede</t>
  </si>
  <si>
    <t>gl</t>
  </si>
  <si>
    <t>9152/ORSE</t>
  </si>
  <si>
    <t>Pintura de acabamento com aplicação de 02 demãos de coralgesso ou similar, duas demãos</t>
  </si>
  <si>
    <t>9.2</t>
  </si>
  <si>
    <t>9.3</t>
  </si>
  <si>
    <t>9.4</t>
  </si>
  <si>
    <t>9.5</t>
  </si>
  <si>
    <t>10.1</t>
  </si>
  <si>
    <t>10.2</t>
  </si>
  <si>
    <t>IFAL 1</t>
  </si>
  <si>
    <t>(B) DIVERSOS</t>
  </si>
  <si>
    <t>2706</t>
  </si>
  <si>
    <t>IFAL 2</t>
  </si>
  <si>
    <t>IFAL 3</t>
  </si>
  <si>
    <t>IFAL 4</t>
  </si>
  <si>
    <t>IFAL 5</t>
  </si>
  <si>
    <t>IFAL 6</t>
  </si>
  <si>
    <t>IFAL 7</t>
  </si>
  <si>
    <t>IFAL 8</t>
  </si>
  <si>
    <t>IFAL 9</t>
  </si>
  <si>
    <t>IFAL 10</t>
  </si>
  <si>
    <t>EMASSAMENTO COM MASSA PVA , DUAS DEMAOS, INCLUSO LIXAMENTO</t>
  </si>
  <si>
    <t>10.3</t>
  </si>
  <si>
    <t>LIMPEZA FINAL DA OBRA</t>
  </si>
  <si>
    <t>SERVIÇO: ADEQUAÇÃO DAS INSTALAÇÕES DE COMBATE A INCÊNDIO E PÂNICO NO CAMPUS SATUBA DO IFAL</t>
  </si>
  <si>
    <t>INSTITUTO FEDERAL DE ALAGOAS</t>
  </si>
  <si>
    <t>CENTRAL DE ALARME E DETECÇÃO DE INCENDIO, CAPACIDADE: 2 BATERIAS, 20 LAÇOS, COM 2 LINHAS, FORNECIMENTO E INSTALAÇÃO</t>
  </si>
  <si>
    <t xml:space="preserve">ACIONADOR MANUAL (BOTOEIRA) TIPO QUEBRA-VIDRO, P/INCENDIO – ENDEREÇÁVEL, FORNECIMENTO E INSTALAÇÃO </t>
  </si>
  <si>
    <t>CORRIMAO EM TUBO EM AÇO GALVANIZADO D=1" (25,4MM), ESPESSURA 0,25MM COM PRIMER EPÓXI - ISOCIANATO E PINTURA DE ACABAMENTO EPÓXI FOSCA (PARA AS ESCADAS DO BL. ADM, CONFORME DETALHE EM PROJETO)</t>
  </si>
  <si>
    <t>8.3</t>
  </si>
  <si>
    <t xml:space="preserve">Pintura de acabamento epóxi fosca para corrimão em aço galvanizado </t>
  </si>
  <si>
    <t>79460/000</t>
  </si>
  <si>
    <t xml:space="preserve"> 73865/001</t>
  </si>
  <si>
    <t>8.4</t>
  </si>
  <si>
    <t>FUNDO PREPARADOR PRIMER A BASE DE EPOXI, PARA ESTRUTURA METALICA, UMA               DEMAO, ESPESSURA DE 25 MICRA. PARA CORRIMÃO EM AÇO GALVANIZADO</t>
  </si>
  <si>
    <t>Cabo de fibra ótica de 6 vias</t>
  </si>
  <si>
    <t>10250/ORSE</t>
  </si>
  <si>
    <t>08749/ORSE</t>
  </si>
  <si>
    <t>Cabo de cobre flexível, blindado com fita de cobre, 2 x 1,5 mm2, tensão 1kv</t>
  </si>
  <si>
    <t>0559/ORSE</t>
  </si>
  <si>
    <t>Luminária de emergência 20W</t>
  </si>
  <si>
    <t>7861/ORSE</t>
  </si>
  <si>
    <t>Lucro</t>
  </si>
  <si>
    <t>Lançamento de concreto fundações</t>
  </si>
  <si>
    <t>74157/004</t>
  </si>
  <si>
    <t>Fundação em bloco de pedra rachão com concreto Classe C25 (1,3mx1,3mx1,7m), incluso escavação e lançamento</t>
  </si>
  <si>
    <t>IFAL 11</t>
  </si>
  <si>
    <t xml:space="preserve">    73972/001</t>
  </si>
  <si>
    <t>Concreto Fck 25MPa, virado em betoneira, excluso lançamento</t>
  </si>
  <si>
    <t>IFAL 11.1</t>
  </si>
  <si>
    <t>Pedra rachão, fornecimento e aplicação</t>
  </si>
  <si>
    <t>PEDRA DE MAO OU PEDRA RACHAO PARA ARRIMO/FUNDACAO (POSTO
PEDREIRA/FORNECEDOR, SEM FRETE)</t>
  </si>
  <si>
    <t>2.4</t>
  </si>
  <si>
    <t>2.5</t>
  </si>
  <si>
    <t>2.7</t>
  </si>
  <si>
    <t>3299/ORSE</t>
  </si>
  <si>
    <t>IFAL 12</t>
  </si>
  <si>
    <t>0049/ORSE</t>
  </si>
  <si>
    <t>08926/ORSE</t>
  </si>
  <si>
    <t>Conversor RJ-45 para fibra ótica, com uma porta RJ-45 1000base-T, uma porta para fibra ótica 1000base-SX multimodo (50/125 ou 62,5/125) para conector SC, com led em seu corpo, fornecimento e instalação</t>
  </si>
  <si>
    <t>Cabo de fibra ótica de 6 vias, incluso 8 conversores RJ-45 para fibra ótica, com uma porta RJ-45 1000base-T, uma porta para fibra ótica 1000base-SX multimodo (50/125 ou 62,5/125) para conector SC, com led em seu corpo, fornecimento e instalação</t>
  </si>
  <si>
    <t>3.3</t>
  </si>
  <si>
    <t>73861/001</t>
  </si>
  <si>
    <t>ELETRODUTO DE ACO GALVANIZADO ELETROLITICO DN 20MM (3/4"), TIPO LEVE, INCLUSIVE CONEXOES - FORNECIMENTO E INSTALACAO</t>
  </si>
  <si>
    <t>Abraçadeira tipo D com parafuso para eletroduto de 3/4", fornecimento e instalação</t>
  </si>
  <si>
    <t xml:space="preserve"> Estrutura em concreto pré-moldado para caixa d´água elevada em fibra de vidro 10.000l (h=6.00m), com capitel, poste com altura útil de 6m, FORNECIMENTO E INSTALAÇÃO, excluso fundação e reservatório</t>
  </si>
  <si>
    <t>TUBO DE AÇO GALVANIZADO COM COSTURA DIN 2440 /NBR 5580 Classe Média DN 2 1/2" (65mm) E=3,65mm - 6,51Kg/m, FORNECIMENTO E INSTALAÇÃO</t>
  </si>
  <si>
    <t>73976/010</t>
  </si>
  <si>
    <t>CAIXA DE INCÊNDIO/ABRIGO PARA MANGUEIRA DE SOBREPOR/EXTERNA (60X75X17) cm, EM CHAPA DE AÇO, VISOR COM A INSCRIÇÃO "INCÊNDIO", SUPORTE CESTA INTERNA PARA MANGUEIRA , PINTURA ELETROSTÁTICA</t>
  </si>
  <si>
    <t>IFAL 13</t>
  </si>
  <si>
    <t>90776/ORSE</t>
  </si>
  <si>
    <t xml:space="preserve">ENCARREGADO GERAL COM ENCARGOS COMPLEMENTARES        </t>
  </si>
  <si>
    <t>88316</t>
  </si>
  <si>
    <t xml:space="preserve">SERVENTE COM ENCARGOS COMPLEMENTARES        </t>
  </si>
  <si>
    <t xml:space="preserve">Encanador ou bombeiro hidraulico COM ENCARGOS COMPLEMENTARES   </t>
  </si>
  <si>
    <t>UN.</t>
  </si>
  <si>
    <t>IFAL 14</t>
  </si>
  <si>
    <t>Válvula de fluxo contínuo galvanizada (p/ incendio), FORNECIMENTO E INSTALAÇÃO</t>
  </si>
  <si>
    <t>3267/ORSE</t>
  </si>
  <si>
    <t>IFAL 15</t>
  </si>
  <si>
    <t>88264</t>
  </si>
  <si>
    <t>ELETRICISTA COM ENCARGOS COMPLEMENTARES</t>
  </si>
  <si>
    <t>88310</t>
  </si>
  <si>
    <t>PINTOR COM ENCARGOS COMPLEMENTARES</t>
  </si>
  <si>
    <t>88241</t>
  </si>
  <si>
    <t>AJUDANTE DE PINTOR  COM ENCARGOS COMPLEMENTARES</t>
  </si>
  <si>
    <t xml:space="preserve">SERVENTE COM ENCARGOS COMPLEMENTARES </t>
  </si>
  <si>
    <t xml:space="preserve">PEDREIRO COM ENCARGOS COMPLEMENTARES </t>
  </si>
  <si>
    <t xml:space="preserve">ENCARREGADO COM ENCARGOS COMPLEMENTARES </t>
  </si>
  <si>
    <t xml:space="preserve">Cabista para instalação telefônica COM ENCARGOS COMPLEMENTARES </t>
  </si>
  <si>
    <t>Reaterro manual com apiloamento</t>
  </si>
  <si>
    <t xml:space="preserve">TUBO DE AÇO GALVANIZADO COM COSTURA DIN 2440 /NBR 5580 Classe Média DN 4" (100mm) E=4,5mm - 12,1Kg/m, FORNECIMENTO E INSTALAÇÃO </t>
  </si>
  <si>
    <t>mês 1 e 2</t>
  </si>
  <si>
    <t>Encarregado geral com encargos complementares</t>
  </si>
  <si>
    <t>90776</t>
  </si>
  <si>
    <t>Tapume para proteção de valas em compensado resinado 10mm, inclusive pintura (1 uso)</t>
  </si>
  <si>
    <t>5155/ORSE</t>
  </si>
  <si>
    <t>1.10</t>
  </si>
  <si>
    <t>M</t>
  </si>
  <si>
    <t>MÊS 1 40%</t>
  </si>
  <si>
    <t>MÊS 2 40%</t>
  </si>
  <si>
    <t>MÊS 3 20%</t>
  </si>
  <si>
    <t>COTAÇÃO 1</t>
  </si>
  <si>
    <t>COTAÇÃO</t>
  </si>
  <si>
    <t>Estrutura em concreto pré-moldado para caixa d´água elevada em fibra de vidro 10.000l (h=6.00m), com capitel, poste com altura útil de 6m, FORNECIMENTO E INSTALAÇÃO, excluso fundação e reservatório</t>
  </si>
  <si>
    <t>FORNECEDOR</t>
  </si>
  <si>
    <t>CNPJ</t>
  </si>
  <si>
    <t>CONJ</t>
  </si>
  <si>
    <t>CONCRENORTE</t>
  </si>
  <si>
    <t>QUANTIDADE</t>
  </si>
  <si>
    <t>CILEL</t>
  </si>
  <si>
    <t>MÉDIA</t>
  </si>
  <si>
    <t>ALEXANDRE CORREIA DA SILVA</t>
  </si>
  <si>
    <t>Engº Segurança do Trabalho</t>
  </si>
  <si>
    <t>CREA RNP 020783544-6</t>
  </si>
  <si>
    <t>Rasgos em alvenaria para passagem de tubulação diâm 1 1/4" a 2"</t>
  </si>
  <si>
    <t>2477/ORSE</t>
  </si>
  <si>
    <t>2.8</t>
  </si>
  <si>
    <t>2.9</t>
  </si>
  <si>
    <t>INSTALAÇÕES DE GÁS</t>
  </si>
  <si>
    <t>UN</t>
  </si>
  <si>
    <t>88309/SINAPI</t>
  </si>
  <si>
    <t>Pedreiro com encargos complementares</t>
  </si>
  <si>
    <t>H</t>
  </si>
  <si>
    <t>88316/SINAPI</t>
  </si>
  <si>
    <t>Servente com encargos complementares</t>
  </si>
  <si>
    <t>88267/SINAPI</t>
  </si>
  <si>
    <t>Encanador ou bombeiro hidraulico) com encargos complementares</t>
  </si>
  <si>
    <t>88310/SINAPI</t>
  </si>
  <si>
    <t>Pintor com encargos complementares</t>
  </si>
  <si>
    <t>(B) MATERIAIS</t>
  </si>
  <si>
    <t>8253/ORSE</t>
  </si>
  <si>
    <t>Central manifold para cilindros 5 x 5 para oxigênio com 2 reguladores de pressão semi-automático e 10 chicotes flexivei, Protec ou similar</t>
  </si>
  <si>
    <t>Cimento portland composto CP ii-32</t>
  </si>
  <si>
    <t>kg</t>
  </si>
  <si>
    <t>1632/ORSE</t>
  </si>
  <si>
    <t>Niple duplo de ferro galvanizado d=1/2"</t>
  </si>
  <si>
    <t>Pig Tail ou chicote flexível de cobre, B-190, para condução de gás</t>
  </si>
  <si>
    <t>União ferro galvanizado assento bronze d= 3/4"</t>
  </si>
  <si>
    <t>3451/ORSE</t>
  </si>
  <si>
    <t xml:space="preserve"> Joelho ferro galv 90g rosca macho/femea 3/4"</t>
  </si>
  <si>
    <t>2129/ORSE</t>
  </si>
  <si>
    <t xml:space="preserve"> Tê ferro galvanizado d= 3/4"</t>
  </si>
  <si>
    <t>3442/SINAPI</t>
  </si>
  <si>
    <t>Joelho ferro galv 90g rosca macho/femea 3/4"</t>
  </si>
  <si>
    <t>6492/ORSE</t>
  </si>
  <si>
    <t>Válvula esférica fecho rápido de latão d=3/4"</t>
  </si>
  <si>
    <t>7334/ORSE</t>
  </si>
  <si>
    <t xml:space="preserve"> Valvula reguladora de baixa pressão 2º Estágio, Aliança ou similar</t>
  </si>
  <si>
    <t>4187/ SINAPI</t>
  </si>
  <si>
    <t>Niple redução latão 3/4" npt x1/2" npt, para instalação de gás</t>
  </si>
  <si>
    <t>9088/ORSE</t>
  </si>
  <si>
    <t>Mangueira para gás GLP d=3/8" x 120cm, em PVC transparente c/tarja amarela, uso domestico, Aliança ou similar</t>
  </si>
  <si>
    <t>7339/ORSE</t>
  </si>
  <si>
    <t>Caixa com regulador 2º Estágio (instalação gás)</t>
  </si>
  <si>
    <t>7554/ORSE</t>
  </si>
  <si>
    <t xml:space="preserve"> Válvula retenção em latão com rosca de 1/2"NPT x 5/8"UNC, ref. X P-13 UCV, p/instalações gás</t>
  </si>
  <si>
    <t>367/ SINAPI</t>
  </si>
  <si>
    <t>Areia grossa - posto jazida/fornecedor (sem frete)</t>
  </si>
  <si>
    <t>M³</t>
  </si>
  <si>
    <t>2698/ORSE</t>
  </si>
  <si>
    <t>Tinta esmalte sintético brilhante (Suvinil ou similar)</t>
  </si>
  <si>
    <t>L</t>
  </si>
  <si>
    <t>3065/ORSE</t>
  </si>
  <si>
    <t xml:space="preserve"> Tubo aço carbono sem costura schedule 80 diâmetros 1/2" e 3/4" ou similar</t>
  </si>
  <si>
    <t>KG</t>
  </si>
  <si>
    <t>3442/ORSE</t>
  </si>
  <si>
    <t>Joelho ferro galv 45g rosca 3/4"</t>
  </si>
  <si>
    <t>7868/ORSE</t>
  </si>
  <si>
    <t>Suporte metálico em chapa de aço e=1/4", dim. 20cm x 40cm, pintada com epox e esmalte sintético 2 demãos cada, com 12 furos diam. 14mm</t>
  </si>
  <si>
    <t>11287/ORSE</t>
  </si>
  <si>
    <t>Concreto estrutural, fck=18mpa - Fonte:DNIT (Confecção e lançamento)</t>
  </si>
  <si>
    <t>IFAL 16</t>
  </si>
  <si>
    <t>Instalação de rede de gás GLP para cozinha com 13 pontos e central de gás para 4 cilindros, inclusive os cilindros</t>
  </si>
  <si>
    <t xml:space="preserve"> Cilindro de aço para gás GLP - 20kg</t>
  </si>
  <si>
    <t>9899/ORSE</t>
  </si>
  <si>
    <t>Projeto executivo de gás</t>
  </si>
  <si>
    <t>REVESTIMENTO DE PISO</t>
  </si>
  <si>
    <t>EXECUÇÃO DE LASTRO EM CONCRETO (1:2,5:6), PREPARO MANUAL (e=5cm)</t>
  </si>
  <si>
    <t>4.2</t>
  </si>
  <si>
    <t>Regularização de piso/ base em argamassa traço 1:4 (cimento e areia), espessura 2,5cm, preparo manual</t>
  </si>
  <si>
    <t>IFAL 17</t>
  </si>
  <si>
    <t>Teste de estanqueidade em uma instalação com 13pontos, incluso laudo e  ART do engenheiro responsável</t>
  </si>
  <si>
    <t>Sala de processamento de carnes</t>
  </si>
  <si>
    <t>Processamento de frutas</t>
  </si>
  <si>
    <t>Salas de processamento de frutas e laticínios</t>
  </si>
  <si>
    <t>IFAL 18</t>
  </si>
  <si>
    <t>Engenheiro civil pleno</t>
  </si>
  <si>
    <t>74115/001</t>
  </si>
  <si>
    <t>Regularização de piso/ base em argamassa traço 1:4 (cimento e areia), espessura 2,5cm, preparo manual (m²)</t>
  </si>
  <si>
    <t>01906/ORSE</t>
  </si>
  <si>
    <t>Argamassa de cimento e areia traço t-4 (1:5) - 1 saco cimento 50kg / 5 padiolas areia dim. 0,35z0,45x0,23m - Confecção mecânica e transporte</t>
  </si>
  <si>
    <t xml:space="preserve"> Revestimento cerâmico para piso ou parede, 24 x 11,6 cm, e=9mm, Linha Sport, acabamento, gail, ref. 3109 ou similar, aplicado com argamassa industrializada ac-iii, rejuntado, exclusive regularização de base ou emboço</t>
  </si>
  <si>
    <t>9116/ORSE</t>
  </si>
  <si>
    <t>Recepção carnes</t>
  </si>
  <si>
    <t>Despensa carnes</t>
  </si>
  <si>
    <t>Doce frutas</t>
  </si>
  <si>
    <t>Pré-lavagem frutas</t>
  </si>
  <si>
    <t>Circulação laticínios</t>
  </si>
  <si>
    <t>Iogurte</t>
  </si>
  <si>
    <t>Doce lacticínios</t>
  </si>
  <si>
    <t>Pasteurização</t>
  </si>
  <si>
    <t>Produção de queijo</t>
  </si>
  <si>
    <t>Depósito junto da pré-lavagem</t>
  </si>
  <si>
    <t>Demolição de piso cerâmico ou ladrilho (Gail)</t>
  </si>
  <si>
    <t>18/ORSE</t>
  </si>
  <si>
    <t>ESTRUTURA PARA TELHA ONDULADA FIBROCIMENTO, ALUMINIO OU PLASTICA, EM MADEIRA APARELHADA, APOIADA EM LAJE OU PAREDE</t>
  </si>
  <si>
    <t>74088/001</t>
  </si>
  <si>
    <t>TELHAMENTO COM TELHA DE FIBROCIMENTO ONDULADA, ESPESSURA 6MM, INCLUSO JUNTAS DE VEDACAO E ACESSORIOS DE FIXACAO, EXCLUINDO MADEIRAMENTO</t>
  </si>
  <si>
    <t>739311/001</t>
  </si>
  <si>
    <t>Nova casa de gás</t>
  </si>
  <si>
    <t>PAREDES</t>
  </si>
  <si>
    <t>EXECUÇÃO DE BALDRAME EM CONCRETO CICLOPICO 1:3 C/30% PEDRA-DE-MAO CAVAS ATE 80 CM DE LARGURA, INCLUSIVE ESCAVAÇÃO, EXCLUSIVE FORMAS</t>
  </si>
  <si>
    <t>ALVENARIA EM TIJOLO CERAMICO FURADO 9X9X19CM, 1/2 VEZ, ASSENTADO EM ARGAMASSA TRACO 1:4 (CIMENTO E AREIA)</t>
  </si>
  <si>
    <t>8.5</t>
  </si>
  <si>
    <t>PINTURA COM TINTA TEXTURIZADA ACRILICA PARA AMBIENTES INTERNOS/EXTERNOS (casa de gás)</t>
  </si>
  <si>
    <t>Casa de gás</t>
  </si>
  <si>
    <t>Área onde foram feitos rasgos</t>
  </si>
  <si>
    <t>10327/ORSE</t>
  </si>
  <si>
    <t>92336</t>
  </si>
  <si>
    <t>8.6</t>
  </si>
  <si>
    <t>8.7</t>
  </si>
  <si>
    <t>8.8</t>
  </si>
  <si>
    <t>8.9</t>
  </si>
  <si>
    <t>9.6</t>
  </si>
  <si>
    <t>9.7</t>
  </si>
  <si>
    <t>9.8</t>
  </si>
  <si>
    <t>9.9</t>
  </si>
  <si>
    <t>9.10</t>
  </si>
  <si>
    <t>9.11</t>
  </si>
  <si>
    <t>9.12</t>
  </si>
  <si>
    <t>9.13</t>
  </si>
  <si>
    <t>9.14</t>
  </si>
  <si>
    <t>9.15</t>
  </si>
  <si>
    <t>9.16</t>
  </si>
  <si>
    <t>9.17</t>
  </si>
  <si>
    <t>9.18</t>
  </si>
  <si>
    <t>9.19</t>
  </si>
  <si>
    <t>11.1</t>
  </si>
  <si>
    <t>11.2</t>
  </si>
  <si>
    <t>11.3</t>
  </si>
  <si>
    <t>11.4</t>
  </si>
  <si>
    <t>11.5</t>
  </si>
  <si>
    <t>12.1</t>
  </si>
  <si>
    <t>12.2</t>
  </si>
  <si>
    <t>12.3</t>
  </si>
  <si>
    <t>12.4</t>
  </si>
  <si>
    <t>12.5</t>
  </si>
  <si>
    <t>13.1</t>
  </si>
  <si>
    <t>13.2</t>
  </si>
  <si>
    <t>13.3</t>
  </si>
  <si>
    <t>13.4</t>
  </si>
  <si>
    <t>13.5</t>
  </si>
  <si>
    <t>ORSE</t>
  </si>
  <si>
    <t>SINAPI</t>
  </si>
  <si>
    <t>Agroindústria</t>
  </si>
  <si>
    <t>Restante do campus</t>
  </si>
  <si>
    <t>Piso cimentado desempolado traço 1:5, e = 3 cm</t>
  </si>
  <si>
    <t>2172/ORSE</t>
  </si>
  <si>
    <t>MEMÓRIA DE CÁLCULO GÁS E PISO</t>
  </si>
  <si>
    <t>Técnico de segurança do trabalho com encargos complementares</t>
  </si>
  <si>
    <t>FEVEREIRO/2016</t>
  </si>
  <si>
    <t>8940/ORSE</t>
  </si>
  <si>
    <t>Válvula estabilizadora de pressão 2 1/2" (65mm)</t>
  </si>
  <si>
    <t>8451/ORSE</t>
  </si>
  <si>
    <t>1379/SINAPI</t>
  </si>
  <si>
    <t>7838/ORSE</t>
  </si>
  <si>
    <t>Luva de ferro galvanizado, com rosca bsp, de 3/4"</t>
  </si>
  <si>
    <t>3909/SINAPI</t>
  </si>
  <si>
    <t>9885/SINAPI</t>
  </si>
  <si>
    <t>Transporte Comercial com caminhão carroceria 9T, em rodovia pavimentada considerando 3 toneladas do container por 20 km</t>
  </si>
  <si>
    <t>MARÇO/2016</t>
  </si>
  <si>
    <t>88255</t>
  </si>
  <si>
    <r>
      <t xml:space="preserve">                   
</t>
    </r>
    <r>
      <rPr>
        <sz val="9"/>
        <color indexed="8"/>
        <rFont val="Calibri"/>
        <family val="2"/>
      </rPr>
      <t>MINISTÉRIO DA EDUCAÇÃO
INSTITUTO FEDERAL DE EDUCAÇÃO, CIÊNCIA E TECNOLÓGICA DE ALAGOAS
PRÓ-REITORIA DE DESENVOLVIMENTO INSTITUCIONAL
DEPARTAMENTO DE INFRAESTRUTURA E EXPANSÃO
COORDENAÇÃO DE PROJETOS E OBRAS</t>
    </r>
    <r>
      <rPr>
        <sz val="11"/>
        <color indexed="8"/>
        <rFont val="Calibri"/>
        <family val="2"/>
      </rPr>
      <t xml:space="preserve">
</t>
    </r>
  </si>
  <si>
    <r>
      <t xml:space="preserve">BDI - BENEFÍCIOS E DESPESAS INDIRETAS
</t>
    </r>
    <r>
      <rPr>
        <b/>
        <sz val="12"/>
        <color indexed="8"/>
        <rFont val="Calibri"/>
        <family val="2"/>
      </rPr>
      <t>Considerações sobre BDI para a obra de construção do Campus Reforma da calçada externa do Campus Maceió do Instituto Federal de Alagoas (IFAL).</t>
    </r>
    <r>
      <rPr>
        <b/>
        <sz val="14"/>
        <color indexed="8"/>
        <rFont val="Calibri"/>
        <family val="2"/>
      </rPr>
      <t xml:space="preserve">
</t>
    </r>
  </si>
  <si>
    <t>FÓRMULA BÁSICA:</t>
  </si>
  <si>
    <t>Onde:</t>
  </si>
  <si>
    <t xml:space="preserve"> </t>
  </si>
  <si>
    <t>BDI = bonificação e despesas indiretas;</t>
  </si>
  <si>
    <t>AC = administração central;</t>
  </si>
  <si>
    <t>S = taxa representativa de seguros;</t>
  </si>
  <si>
    <t>R = taxa representativa de riscos;</t>
  </si>
  <si>
    <t>G = taxa representativa de garantias;</t>
  </si>
  <si>
    <t>DF = despesas financeiras;</t>
  </si>
  <si>
    <t>L = lucro;</t>
  </si>
  <si>
    <t>I = taxa representativa da incidência de Impostos.</t>
  </si>
  <si>
    <r>
      <t>Ø</t>
    </r>
    <r>
      <rPr>
        <sz val="7"/>
        <color indexed="8"/>
        <rFont val="Times New Roman"/>
        <family val="1"/>
      </rPr>
      <t xml:space="preserve">  </t>
    </r>
    <r>
      <rPr>
        <b/>
        <sz val="11"/>
        <color indexed="8"/>
        <rFont val="Calibri"/>
        <family val="2"/>
      </rPr>
      <t>AC – Administração Central:</t>
    </r>
  </si>
  <si>
    <t xml:space="preserve">O escritório central é apenas um gerador de despesas; </t>
  </si>
  <si>
    <r>
      <t>As obras rateiam os custos da</t>
    </r>
    <r>
      <rPr>
        <sz val="11"/>
        <color indexed="9"/>
        <rFont val="Calibri"/>
        <family val="2"/>
      </rPr>
      <t xml:space="preserve"> </t>
    </r>
    <r>
      <rPr>
        <sz val="11"/>
        <color indexed="8"/>
        <rFont val="Calibri"/>
        <family val="2"/>
      </rPr>
      <t>sede e remetem mensalmente uma cota proporcional ao porte de cada contrato;</t>
    </r>
  </si>
  <si>
    <t xml:space="preserve">Para obra em questão foi utilizado do valor do 1º Quartil apresentado no “Acórdão nº 2622/2013 – TCU – Plenário”, </t>
  </si>
  <si>
    <t>Construção de Edifícios:</t>
  </si>
  <si>
    <t>Administração Central</t>
  </si>
  <si>
    <t>1º Quartil</t>
  </si>
  <si>
    <t>Média</t>
  </si>
  <si>
    <t>3º Quartil</t>
  </si>
  <si>
    <t>AC =</t>
  </si>
  <si>
    <t>Segue a descrição de gastos da administração central:</t>
  </si>
  <si>
    <t>DESPESAS A SEREM COBERTAS</t>
  </si>
  <si>
    <t>Pessoal</t>
  </si>
  <si>
    <t>Pró-labore dos sócios, salário dos diretores, gerentes, secretárias, técnicos, estagiários, motoristas, contínuos, etc.</t>
  </si>
  <si>
    <t>Instalações físicas</t>
  </si>
  <si>
    <t>Aluguel e manutenção dos imóveis, incluindo os impostos cabíveis (IPTU).</t>
  </si>
  <si>
    <t>Despesas correntes</t>
  </si>
  <si>
    <t>Água, luz, telefone, internet, correios, jornais e revistas, material de expediente e de limpeza, etc.</t>
  </si>
  <si>
    <t>Veículos e equipamentos</t>
  </si>
  <si>
    <t>Utilitários, fotocopiadores, ploteres, faxes, computadores, ar condicionados, etc.</t>
  </si>
  <si>
    <t>Serviços de terceiros</t>
  </si>
  <si>
    <t>Consultoria para estudos de obras, assessoria contábil e jurídica, publicidade, serviços gráficos, auditoria, treinamento de pessoal, etc.</t>
  </si>
  <si>
    <t>Diversos</t>
  </si>
  <si>
    <t>Anuidades (CREA, Sindicatos), aquisição de editais, seguros, viagens, brindes, etc.</t>
  </si>
  <si>
    <r>
      <t>Ø</t>
    </r>
    <r>
      <rPr>
        <sz val="7"/>
        <color indexed="8"/>
        <rFont val="Times New Roman"/>
        <family val="1"/>
      </rPr>
      <t xml:space="preserve">  </t>
    </r>
    <r>
      <rPr>
        <b/>
        <sz val="11"/>
        <color indexed="8"/>
        <rFont val="Calibri"/>
        <family val="2"/>
      </rPr>
      <t>S + G – Seguros + Garantias</t>
    </r>
  </si>
  <si>
    <t>Diante das particularidades da obra, que trata-se de uma reforma, utiliza-se o valor do 3º Quartil apresentado no “Acórdão nº 2622/2013 – TCU – Plenário”:</t>
  </si>
  <si>
    <t>Seguro + Garantia</t>
  </si>
  <si>
    <t>S + G=</t>
  </si>
  <si>
    <t>Conforme bem salientado no relatório que antecede o Acórdão 2.369/2011- TCU-Plenário, “em um orçamento de obra, por mais detalhado e criterioso que seja, é impossível prever com exatidão todas as peculiaridades do projeto”, ou seja sempre há um risco inerente.</t>
  </si>
  <si>
    <r>
      <t xml:space="preserve">Foi adotado o valor do 1º Quartil, já que a licitação será realizada por </t>
    </r>
    <r>
      <rPr>
        <b/>
        <sz val="11"/>
        <color indexed="8"/>
        <rFont val="Calibri"/>
        <family val="2"/>
      </rPr>
      <t>Regime de Empreitada por Preços Unitários</t>
    </r>
    <r>
      <rPr>
        <sz val="11"/>
        <color indexed="8"/>
        <rFont val="Calibri"/>
        <family val="2"/>
      </rPr>
      <t>, pois neste caso, a Administração assume os riscos das variações de quantitativos.</t>
    </r>
  </si>
  <si>
    <t xml:space="preserve"> Construção de Edifícios:</t>
  </si>
  <si>
    <t>Riscos</t>
  </si>
  <si>
    <t>R =</t>
  </si>
  <si>
    <r>
      <t>Ø</t>
    </r>
    <r>
      <rPr>
        <sz val="7"/>
        <color indexed="8"/>
        <rFont val="Times New Roman"/>
        <family val="1"/>
      </rPr>
      <t xml:space="preserve">  </t>
    </r>
    <r>
      <rPr>
        <b/>
        <sz val="11"/>
        <color indexed="8"/>
        <rFont val="Calibri"/>
        <family val="2"/>
      </rPr>
      <t>DF - Despesas Financeiras</t>
    </r>
  </si>
  <si>
    <t>Utilizou-se o valor do médio apresentado no “Acórdão nº 2622/2013 – TCU – Plenário”:</t>
  </si>
  <si>
    <t>Custo Financeiro</t>
  </si>
  <si>
    <t>DF =</t>
  </si>
  <si>
    <r>
      <t>Ø</t>
    </r>
    <r>
      <rPr>
        <sz val="7"/>
        <color indexed="8"/>
        <rFont val="Times New Roman"/>
        <family val="1"/>
      </rPr>
      <t xml:space="preserve">  </t>
    </r>
    <r>
      <rPr>
        <b/>
        <sz val="11"/>
        <color indexed="8"/>
        <rFont val="Calibri"/>
        <family val="2"/>
      </rPr>
      <t>L - Lucro líquido esperado</t>
    </r>
  </si>
  <si>
    <t>Para que o contrato seja mais atrativo, visto que trata-se de uma obra de pequeno porte</t>
  </si>
  <si>
    <t>Foi utilizando o valor do 2º Quartil apresentado no “Acórdão nº 2622/2013 – TCU – Plenário”:</t>
  </si>
  <si>
    <t>L =</t>
  </si>
  <si>
    <r>
      <t>Ø</t>
    </r>
    <r>
      <rPr>
        <sz val="7"/>
        <color indexed="8"/>
        <rFont val="Times New Roman"/>
        <family val="1"/>
      </rPr>
      <t xml:space="preserve">  </t>
    </r>
    <r>
      <rPr>
        <b/>
        <sz val="11"/>
        <color indexed="8"/>
        <rFont val="Calibri"/>
        <family val="2"/>
      </rPr>
      <t>I - Impostos</t>
    </r>
  </si>
  <si>
    <r>
      <t xml:space="preserve">ISS - 5% x 50% (mão de obra) = </t>
    </r>
    <r>
      <rPr>
        <b/>
        <u val="single"/>
        <sz val="11"/>
        <color indexed="8"/>
        <rFont val="Calibri"/>
        <family val="2"/>
      </rPr>
      <t>2,50%</t>
    </r>
    <r>
      <rPr>
        <sz val="11"/>
        <color indexed="8"/>
        <rFont val="Calibri"/>
        <family val="2"/>
      </rPr>
      <t xml:space="preserve"> (</t>
    </r>
    <r>
      <rPr>
        <i/>
        <sz val="11"/>
        <color indexed="8"/>
        <rFont val="Calibri"/>
        <family val="2"/>
      </rPr>
      <t>atende) -&gt; Máximo acordão 2369/2011 = 3,0%</t>
    </r>
  </si>
  <si>
    <r>
      <t xml:space="preserve">COFINS - </t>
    </r>
    <r>
      <rPr>
        <b/>
        <u val="single"/>
        <sz val="11"/>
        <color indexed="8"/>
        <rFont val="Calibri"/>
        <family val="2"/>
      </rPr>
      <t>3,0%</t>
    </r>
    <r>
      <rPr>
        <sz val="11"/>
        <color indexed="8"/>
        <rFont val="Calibri"/>
        <family val="2"/>
      </rPr>
      <t xml:space="preserve">  (atende) -&gt; </t>
    </r>
    <r>
      <rPr>
        <i/>
        <sz val="11"/>
        <color indexed="8"/>
        <rFont val="Calibri"/>
        <family val="2"/>
      </rPr>
      <t>Mínimo, médio e máximo acordão 2369/2011 = 3,0%</t>
    </r>
  </si>
  <si>
    <r>
      <t xml:space="preserve">PIS - </t>
    </r>
    <r>
      <rPr>
        <b/>
        <u val="single"/>
        <sz val="11"/>
        <color indexed="8"/>
        <rFont val="Calibri"/>
        <family val="2"/>
      </rPr>
      <t xml:space="preserve">0,65% </t>
    </r>
    <r>
      <rPr>
        <sz val="11"/>
        <color indexed="8"/>
        <rFont val="Calibri"/>
        <family val="2"/>
      </rPr>
      <t xml:space="preserve"> (atende) -&gt; </t>
    </r>
    <r>
      <rPr>
        <i/>
        <sz val="11"/>
        <color indexed="8"/>
        <rFont val="Calibri"/>
        <family val="2"/>
      </rPr>
      <t>Mínimo, médio e máximo acordão 2369/2011 = 0,65%</t>
    </r>
  </si>
  <si>
    <t>I =</t>
  </si>
  <si>
    <r>
      <t>Ø</t>
    </r>
    <r>
      <rPr>
        <sz val="7"/>
        <color indexed="8"/>
        <rFont val="Times New Roman"/>
        <family val="1"/>
      </rPr>
      <t xml:space="preserve">  </t>
    </r>
    <r>
      <rPr>
        <b/>
        <sz val="11"/>
        <color indexed="8"/>
        <rFont val="Calibri"/>
        <family val="2"/>
      </rPr>
      <t xml:space="preserve">CÁLCULO DO BDI: </t>
    </r>
  </si>
  <si>
    <t xml:space="preserve">Subistituindo os valores das considerações feitas na fórmula apresentada inicialmente tem-se um BDI de </t>
  </si>
  <si>
    <t>BDI =</t>
  </si>
  <si>
    <t>Uma vez que o orçamento foi elaborado considerando a desoneração instituída pela Lei 12.844/13 e alterada o percentual pela lei 13.161/15, deve-se incluir no BDI o percentual compensatório de 4,5% sobre o lucro bruto relativo à Contribuição Previdenciária sobre a Renda Bruta (CPRB), conforme cálculo a seguir:</t>
  </si>
  <si>
    <t>BDI (DESONERAÇÃO)</t>
  </si>
  <si>
    <t>área de forro</t>
  </si>
  <si>
    <t>BDI 27,33%</t>
  </si>
  <si>
    <t>TOTAL DA OBRASEM BDI</t>
  </si>
  <si>
    <t>Seiscentos e trinta e sete mil, setecentos e vinte e sete reais e trinta e nove centavos.</t>
  </si>
  <si>
    <t>OBS.: A adimistração local da obra será de 5,36% do valor do orçamento, ou seja, dentro do limite estabelecido  no “Acórdão nº 2622/2013 – TCU – Plenário” que é de 3,49% a 8,87%</t>
  </si>
  <si>
    <t>Área de retirada de forros</t>
  </si>
  <si>
    <t>59+76+26</t>
  </si>
  <si>
    <t>SERVIÇO PÚBLICO FEDERAL</t>
  </si>
  <si>
    <t>Secretaria de Educação Profissional e Tecnológica</t>
  </si>
  <si>
    <t>Instituto Federal de Alagoas</t>
  </si>
  <si>
    <t>CURVA ABC</t>
  </si>
  <si>
    <t>PERCENTUAL ACUMULADO (%)</t>
  </si>
  <si>
    <t>CLASSIFICAÇÃO</t>
  </si>
  <si>
    <t>Diretoria de Infraestrutura e Expansão</t>
  </si>
  <si>
    <t>Coordenação de Orçamento de Obras e apoio à Licitação</t>
  </si>
  <si>
    <t>A</t>
  </si>
  <si>
    <t>B</t>
  </si>
  <si>
    <t>C</t>
  </si>
</sst>
</file>

<file path=xl/styles.xml><?xml version="1.0" encoding="utf-8"?>
<styleSheet xmlns="http://schemas.openxmlformats.org/spreadsheetml/2006/main">
  <numFmts count="6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R$-416]\ #,##0.00;[Red]\-[$R$-416]\ #,##0.00"/>
    <numFmt numFmtId="165" formatCode="#,##0.00\ ;&quot; (&quot;#,##0.00\);&quot; -&quot;#\ ;@\ "/>
    <numFmt numFmtId="166" formatCode="#,##0&quot; €&quot;;\-#,##0&quot; €&quot;"/>
    <numFmt numFmtId="167" formatCode="#,##0.00\ ;\-#,##0.00\ ;&quot; -&quot;#\ ;@\ "/>
    <numFmt numFmtId="168" formatCode="&quot; R$ &quot;#,##0.00\ ;&quot;-R$ &quot;#,##0.00\ ;&quot; R$ -&quot;#\ ;@\ "/>
    <numFmt numFmtId="169" formatCode="dd/mm/yy"/>
    <numFmt numFmtId="170" formatCode="[$R$-416]\ #,##0.00\ ;\-[$R$-416]\ #,##0.00\ ;[$R$-416]&quot; -&quot;#\ ;@\ "/>
    <numFmt numFmtId="171" formatCode="0.000"/>
    <numFmt numFmtId="172" formatCode="0.0000"/>
    <numFmt numFmtId="173" formatCode="mm/yy"/>
    <numFmt numFmtId="174" formatCode="d/mmm"/>
    <numFmt numFmtId="175" formatCode="dd/mm/yyyy&quot;  &quot;hh:mm:ss"/>
    <numFmt numFmtId="176" formatCode="dd/mm/yy\ hh:mm"/>
    <numFmt numFmtId="177" formatCode="#.###"/>
    <numFmt numFmtId="178" formatCode="[$R$-416]\ #,##0.000\ ;\-[$R$-416]\ #,##0.000\ ;[$R$-416]&quot; -&quot;#.0\ ;@\ "/>
    <numFmt numFmtId="179" formatCode="_(&quot;R$&quot;* #,##0.00_);_(&quot;R$&quot;* \(#,##0.00\);_(&quot;R$&quot;* \-??_);_(@_)"/>
    <numFmt numFmtId="180" formatCode="_-&quot;R$ &quot;* #,##0.00_-;&quot;-R$ &quot;* #,##0.00_-;_-&quot;R$ &quot;* \-??_-;_-@_-"/>
    <numFmt numFmtId="181" formatCode="_(* #,##0.00_);_(* \(#,##0.00\);_(* \-??_);_(@_)"/>
    <numFmt numFmtId="182" formatCode="_-* #,##0.00_-;\-* #,##0.00_-;_-* \-??_-;_-@_-"/>
    <numFmt numFmtId="183" formatCode="dd/mm/yy;@"/>
    <numFmt numFmtId="184" formatCode="&quot;R$ &quot;#,##0.00"/>
    <numFmt numFmtId="185" formatCode="&quot;R$ &quot;#,##0.00_);&quot;(R$ &quot;#,##0.00\)"/>
    <numFmt numFmtId="186" formatCode="#.##000"/>
    <numFmt numFmtId="187" formatCode="\ [$R$-416]\ #,##0.00\ ;\-[$R$-416]\ #,##0.00\ ;\ [$R$-416]&quot; -&quot;00\ ;\ @\ "/>
    <numFmt numFmtId="188" formatCode="#,##0.00_);\-#,##0.00"/>
    <numFmt numFmtId="189" formatCode="\ #,##0.00\ ;\-#,##0.00\ ;&quot; -&quot;00\ ;\ @\ "/>
    <numFmt numFmtId="190" formatCode="d/m/yy"/>
    <numFmt numFmtId="191" formatCode="[$R$-416]\ #,##0.00"/>
    <numFmt numFmtId="192" formatCode="[$R$-416]\ #,##0.00;\-[$R$-416]\ #,##0.00"/>
    <numFmt numFmtId="193" formatCode="[$R$-416]\ #,##0.000;\-[$R$-416]\ #,##0.000"/>
    <numFmt numFmtId="194" formatCode="0.0"/>
    <numFmt numFmtId="195" formatCode="&quot; R$ &quot;#,##0.00\ ;&quot; R$ (&quot;#,##0.00\);&quot; R$ -&quot;#\ ;@\ "/>
    <numFmt numFmtId="196" formatCode="#,##0\ ;\-#,##0"/>
    <numFmt numFmtId="197" formatCode="#,##0&quot; &quot;;&quot;(&quot;#,##0&quot;)&quot;;&quot;-&quot;#&quot; &quot;;@&quot; &quot;"/>
    <numFmt numFmtId="198" formatCode="0.000000"/>
    <numFmt numFmtId="199" formatCode="0.00000"/>
    <numFmt numFmtId="200" formatCode="0.0000000"/>
    <numFmt numFmtId="201" formatCode="[$-416]#,##0.00"/>
    <numFmt numFmtId="202" formatCode="#,##0.00_ ;\-#,##0.00\ "/>
    <numFmt numFmtId="203" formatCode="&quot;Sim&quot;;&quot;Sim&quot;;&quot;Não&quot;"/>
    <numFmt numFmtId="204" formatCode="&quot;Verdadeiro&quot;;&quot;Verdadeiro&quot;;&quot;Falso&quot;"/>
    <numFmt numFmtId="205" formatCode="&quot;Ativado&quot;;&quot;Ativado&quot;;&quot;Desativado&quot;"/>
    <numFmt numFmtId="206" formatCode="[$€-2]\ #,##0.00_);[Red]\([$€-2]\ #,##0.00\)"/>
    <numFmt numFmtId="207" formatCode="[$R$-416]&quot; &quot;#,##0.00&quot; &quot;;&quot;-&quot;[$R$-416]&quot; &quot;#,##0.00&quot; &quot;;[$R$-416]&quot; -&quot;#&quot; &quot;;@&quot; &quot;"/>
    <numFmt numFmtId="208" formatCode="_-* #,##0.0000_-;\-* #,##0.0000_-;_-* &quot;-&quot;??_-;_-@_-"/>
    <numFmt numFmtId="209" formatCode="#,#00"/>
    <numFmt numFmtId="210" formatCode="_(&quot;R$ &quot;* #,##0.00_);_(&quot;R$ &quot;* \(#,##0.00\);_(&quot;R$ &quot;* \-??_);_(@_)"/>
    <numFmt numFmtId="211" formatCode="General_)"/>
    <numFmt numFmtId="212" formatCode="%#,#00"/>
    <numFmt numFmtId="213" formatCode="#,"/>
    <numFmt numFmtId="214" formatCode="* #,##0.00\ ;* \(#,##0.00\);* \-#\ ;@\ "/>
    <numFmt numFmtId="215" formatCode="0.0%"/>
  </numFmts>
  <fonts count="130">
    <font>
      <sz val="11"/>
      <color indexed="8"/>
      <name val="Calibri"/>
      <family val="2"/>
    </font>
    <font>
      <sz val="10"/>
      <name val="Arial"/>
      <family val="0"/>
    </font>
    <font>
      <b/>
      <i/>
      <sz val="16"/>
      <color indexed="8"/>
      <name val="Calibri"/>
      <family val="2"/>
    </font>
    <font>
      <b/>
      <i/>
      <u val="single"/>
      <sz val="11"/>
      <color indexed="8"/>
      <name val="Calibri"/>
      <family val="2"/>
    </font>
    <font>
      <b/>
      <sz val="11"/>
      <color indexed="8"/>
      <name val="Segoe UI"/>
      <family val="2"/>
    </font>
    <font>
      <b/>
      <sz val="16"/>
      <color indexed="8"/>
      <name val="Calibri"/>
      <family val="2"/>
    </font>
    <font>
      <b/>
      <sz val="14"/>
      <color indexed="8"/>
      <name val="Calibri"/>
      <family val="2"/>
    </font>
    <font>
      <b/>
      <sz val="11"/>
      <color indexed="8"/>
      <name val="Calibri"/>
      <family val="2"/>
    </font>
    <font>
      <b/>
      <sz val="9"/>
      <name val="Calibri"/>
      <family val="2"/>
    </font>
    <font>
      <sz val="9"/>
      <name val="Calibri"/>
      <family val="2"/>
    </font>
    <font>
      <b/>
      <sz val="10"/>
      <color indexed="8"/>
      <name val="Calibri"/>
      <family val="2"/>
    </font>
    <font>
      <b/>
      <i/>
      <sz val="9"/>
      <color indexed="8"/>
      <name val="Calibri"/>
      <family val="2"/>
    </font>
    <font>
      <b/>
      <sz val="11"/>
      <color indexed="9"/>
      <name val="Calibri"/>
      <family val="2"/>
    </font>
    <font>
      <b/>
      <sz val="8"/>
      <color indexed="8"/>
      <name val="Calibri"/>
      <family val="2"/>
    </font>
    <font>
      <sz val="11"/>
      <color indexed="9"/>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Arial"/>
      <family val="2"/>
    </font>
    <font>
      <sz val="9"/>
      <color indexed="8"/>
      <name val="Arial"/>
      <family val="2"/>
    </font>
    <font>
      <b/>
      <sz val="12"/>
      <color indexed="8"/>
      <name val="Arial"/>
      <family val="2"/>
    </font>
    <font>
      <sz val="12"/>
      <color indexed="8"/>
      <name val="Arial"/>
      <family val="2"/>
    </font>
    <font>
      <b/>
      <sz val="11"/>
      <color indexed="8"/>
      <name val="Arial"/>
      <family val="2"/>
    </font>
    <font>
      <b/>
      <sz val="10"/>
      <name val="Arial"/>
      <family val="2"/>
    </font>
    <font>
      <b/>
      <sz val="11"/>
      <name val="Arial"/>
      <family val="2"/>
    </font>
    <font>
      <sz val="8"/>
      <color indexed="8"/>
      <name val="Arial"/>
      <family val="2"/>
    </font>
    <font>
      <sz val="11"/>
      <name val="Arial"/>
      <family val="2"/>
    </font>
    <font>
      <sz val="9"/>
      <color indexed="10"/>
      <name val="Arial"/>
      <family val="2"/>
    </font>
    <font>
      <sz val="10"/>
      <color indexed="8"/>
      <name val="Arial1"/>
      <family val="0"/>
    </font>
    <font>
      <b/>
      <sz val="10"/>
      <name val="Arial1"/>
      <family val="0"/>
    </font>
    <font>
      <b/>
      <sz val="9"/>
      <name val="Arial1"/>
      <family val="0"/>
    </font>
    <font>
      <sz val="10"/>
      <name val="Arial1"/>
      <family val="0"/>
    </font>
    <font>
      <b/>
      <sz val="14"/>
      <name val="Arial"/>
      <family val="2"/>
    </font>
    <font>
      <b/>
      <sz val="12"/>
      <name val="Arial"/>
      <family val="2"/>
    </font>
    <font>
      <sz val="9"/>
      <name val="Arial1"/>
      <family val="0"/>
    </font>
    <font>
      <sz val="12"/>
      <color indexed="8"/>
      <name val="Times New Roman"/>
      <family val="1"/>
    </font>
    <font>
      <sz val="11"/>
      <name val="Calibri"/>
      <family val="2"/>
    </font>
    <font>
      <sz val="8"/>
      <name val="Verdana"/>
      <family val="2"/>
    </font>
    <font>
      <b/>
      <sz val="9"/>
      <name val="Arial"/>
      <family val="2"/>
    </font>
    <font>
      <b/>
      <sz val="9"/>
      <color indexed="8"/>
      <name val="Arial"/>
      <family val="2"/>
    </font>
    <font>
      <b/>
      <sz val="8"/>
      <name val="Arial1"/>
      <family val="0"/>
    </font>
    <font>
      <b/>
      <sz val="11"/>
      <name val="Calibri"/>
      <family val="2"/>
    </font>
    <font>
      <u val="single"/>
      <sz val="11"/>
      <name val="Calibri"/>
      <family val="2"/>
    </font>
    <font>
      <sz val="1"/>
      <color indexed="8"/>
      <name val="Courier New"/>
      <family val="3"/>
    </font>
    <font>
      <u val="single"/>
      <sz val="11"/>
      <color indexed="12"/>
      <name val="Arial"/>
      <family val="2"/>
    </font>
    <font>
      <sz val="12"/>
      <name val="Courier New"/>
      <family val="3"/>
    </font>
    <font>
      <b/>
      <sz val="1"/>
      <color indexed="8"/>
      <name val="Courier New"/>
      <family val="3"/>
    </font>
    <font>
      <sz val="9"/>
      <color indexed="8"/>
      <name val="Calibri"/>
      <family val="2"/>
    </font>
    <font>
      <b/>
      <sz val="12"/>
      <color indexed="8"/>
      <name val="Calibri"/>
      <family val="2"/>
    </font>
    <font>
      <sz val="7"/>
      <color indexed="8"/>
      <name val="Times New Roman"/>
      <family val="1"/>
    </font>
    <font>
      <i/>
      <sz val="11"/>
      <color indexed="8"/>
      <name val="Calibri"/>
      <family val="2"/>
    </font>
    <font>
      <b/>
      <u val="single"/>
      <sz val="11"/>
      <color indexed="8"/>
      <name val="Calibri"/>
      <family val="2"/>
    </font>
    <font>
      <sz val="11"/>
      <color indexed="58"/>
      <name val="Calibri"/>
      <family val="2"/>
    </font>
    <font>
      <u val="single"/>
      <sz val="11"/>
      <color indexed="12"/>
      <name val="Calibri"/>
      <family val="2"/>
    </font>
    <font>
      <u val="single"/>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0"/>
      <color indexed="8"/>
      <name val="Arial1"/>
      <family val="0"/>
    </font>
    <font>
      <b/>
      <sz val="9"/>
      <color indexed="8"/>
      <name val="Arial1"/>
      <family val="0"/>
    </font>
    <font>
      <sz val="9"/>
      <color indexed="8"/>
      <name val="Arial1"/>
      <family val="0"/>
    </font>
    <font>
      <sz val="8"/>
      <color indexed="8"/>
      <name val="Verdana"/>
      <family val="2"/>
    </font>
    <font>
      <sz val="8"/>
      <color indexed="8"/>
      <name val="Arial1"/>
      <family val="0"/>
    </font>
    <font>
      <sz val="10"/>
      <color indexed="8"/>
      <name val="Arial"/>
      <family val="2"/>
    </font>
    <font>
      <b/>
      <sz val="8"/>
      <color indexed="8"/>
      <name val="Arial1"/>
      <family val="0"/>
    </font>
    <font>
      <sz val="11"/>
      <color indexed="8"/>
      <name val="Wingdings"/>
      <family val="0"/>
    </font>
    <font>
      <i/>
      <sz val="10"/>
      <color indexed="8"/>
      <name val="Calibri"/>
      <family val="2"/>
    </font>
    <font>
      <i/>
      <sz val="11"/>
      <color indexed="10"/>
      <name val="Calibri"/>
      <family val="2"/>
    </font>
    <font>
      <b/>
      <sz val="11"/>
      <color indexed="10"/>
      <name val="Calibri"/>
      <family val="2"/>
    </font>
    <font>
      <b/>
      <u val="single"/>
      <sz val="12"/>
      <color indexed="8"/>
      <name val="Calibri"/>
      <family val="2"/>
    </font>
    <font>
      <b/>
      <i/>
      <sz val="11"/>
      <color indexed="8"/>
      <name val="Calibri"/>
      <family val="2"/>
    </font>
    <font>
      <b/>
      <i/>
      <sz val="11"/>
      <color indexed="10"/>
      <name val="Calibri"/>
      <family val="2"/>
    </font>
    <font>
      <b/>
      <sz val="12"/>
      <color indexed="8"/>
      <name val="Arial1"/>
      <family val="0"/>
    </font>
    <font>
      <sz val="10"/>
      <color indexed="8"/>
      <name val="Times New Roman"/>
      <family val="1"/>
    </font>
    <font>
      <sz val="10"/>
      <color indexed="8"/>
      <name val="Calibri"/>
      <family val="2"/>
    </font>
    <font>
      <b/>
      <sz val="1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0"/>
      <color rgb="FF000000"/>
      <name val="Arial1"/>
      <family val="0"/>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0"/>
      <color rgb="FF000000"/>
      <name val="Arial1"/>
      <family val="0"/>
    </font>
    <font>
      <b/>
      <sz val="9"/>
      <color rgb="FF000000"/>
      <name val="Arial1"/>
      <family val="0"/>
    </font>
    <font>
      <sz val="9"/>
      <color rgb="FF000000"/>
      <name val="Arial1"/>
      <family val="0"/>
    </font>
    <font>
      <sz val="8"/>
      <color rgb="FF000000"/>
      <name val="Verdana"/>
      <family val="2"/>
    </font>
    <font>
      <sz val="9"/>
      <color rgb="FF000000"/>
      <name val="Arial"/>
      <family val="2"/>
    </font>
    <font>
      <sz val="8"/>
      <color rgb="FF000000"/>
      <name val="Arial1"/>
      <family val="0"/>
    </font>
    <font>
      <sz val="10"/>
      <color rgb="FF000000"/>
      <name val="Arial"/>
      <family val="2"/>
    </font>
    <font>
      <sz val="8"/>
      <color rgb="FF000000"/>
      <name val="Arial"/>
      <family val="2"/>
    </font>
    <font>
      <b/>
      <sz val="8"/>
      <color rgb="FF000000"/>
      <name val="Arial1"/>
      <family val="0"/>
    </font>
    <font>
      <sz val="11"/>
      <color theme="1"/>
      <name val="Wingdings"/>
      <family val="0"/>
    </font>
    <font>
      <i/>
      <sz val="11"/>
      <color theme="1"/>
      <name val="Calibri"/>
      <family val="2"/>
    </font>
    <font>
      <i/>
      <sz val="10"/>
      <color theme="1"/>
      <name val="Calibri"/>
      <family val="2"/>
    </font>
    <font>
      <i/>
      <sz val="11"/>
      <color rgb="FFFF0000"/>
      <name val="Calibri"/>
      <family val="2"/>
    </font>
    <font>
      <b/>
      <sz val="12"/>
      <color theme="1"/>
      <name val="Calibri"/>
      <family val="2"/>
    </font>
    <font>
      <b/>
      <sz val="11"/>
      <color rgb="FFFF0000"/>
      <name val="Calibri"/>
      <family val="2"/>
    </font>
    <font>
      <b/>
      <u val="single"/>
      <sz val="12"/>
      <color theme="1"/>
      <name val="Calibri"/>
      <family val="2"/>
    </font>
    <font>
      <b/>
      <u val="single"/>
      <sz val="11"/>
      <color theme="1"/>
      <name val="Calibri"/>
      <family val="2"/>
    </font>
    <font>
      <b/>
      <i/>
      <sz val="11"/>
      <color theme="1"/>
      <name val="Calibri"/>
      <family val="2"/>
    </font>
    <font>
      <b/>
      <i/>
      <sz val="11"/>
      <color rgb="FFFF0000"/>
      <name val="Calibri"/>
      <family val="2"/>
    </font>
    <font>
      <b/>
      <sz val="12"/>
      <color rgb="FF000000"/>
      <name val="Arial1"/>
      <family val="0"/>
    </font>
    <font>
      <b/>
      <sz val="14"/>
      <color theme="1"/>
      <name val="Calibri"/>
      <family val="2"/>
    </font>
    <font>
      <sz val="10"/>
      <color theme="1"/>
      <name val="Times New Roman"/>
      <family val="1"/>
    </font>
    <font>
      <b/>
      <sz val="11"/>
      <color rgb="FF000000"/>
      <name val="Calibri"/>
      <family val="2"/>
    </font>
  </fonts>
  <fills count="7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23"/>
        <bgColor indexed="64"/>
      </patternFill>
    </fill>
    <fill>
      <patternFill patternType="solid">
        <fgColor theme="0"/>
        <bgColor indexed="64"/>
      </patternFill>
    </fill>
    <fill>
      <patternFill patternType="solid">
        <fgColor theme="0"/>
        <bgColor indexed="64"/>
      </patternFill>
    </fill>
    <fill>
      <patternFill patternType="solid">
        <fgColor indexed="42"/>
        <bgColor indexed="64"/>
      </patternFill>
    </fill>
    <fill>
      <patternFill patternType="solid">
        <fgColor indexed="31"/>
        <bgColor indexed="64"/>
      </patternFill>
    </fill>
    <fill>
      <patternFill patternType="solid">
        <fgColor theme="0"/>
        <bgColor indexed="64"/>
      </patternFill>
    </fill>
    <fill>
      <patternFill patternType="solid">
        <fgColor indexed="9"/>
        <bgColor indexed="64"/>
      </patternFill>
    </fill>
    <fill>
      <patternFill patternType="solid">
        <fgColor indexed="50"/>
        <bgColor indexed="64"/>
      </patternFill>
    </fill>
    <fill>
      <patternFill patternType="solid">
        <fgColor theme="0"/>
        <bgColor indexed="64"/>
      </patternFill>
    </fill>
    <fill>
      <patternFill patternType="solid">
        <fgColor theme="0"/>
        <bgColor indexed="64"/>
      </patternFill>
    </fill>
    <fill>
      <patternFill patternType="solid">
        <fgColor rgb="FFC0C0C0"/>
        <bgColor indexed="64"/>
      </patternFill>
    </fill>
    <fill>
      <patternFill patternType="solid">
        <fgColor rgb="FFFFFFFF"/>
        <bgColor indexed="64"/>
      </patternFill>
    </fill>
    <fill>
      <patternFill patternType="solid">
        <fgColor theme="0" tint="-0.1499900072813034"/>
        <bgColor indexed="64"/>
      </patternFill>
    </fill>
    <fill>
      <patternFill patternType="solid">
        <fgColor rgb="FF92D050"/>
        <bgColor indexed="64"/>
      </patternFill>
    </fill>
    <fill>
      <patternFill patternType="solid">
        <fgColor theme="0"/>
        <bgColor indexed="64"/>
      </patternFill>
    </fill>
    <fill>
      <patternFill patternType="solid">
        <fgColor theme="5" tint="0.5999900102615356"/>
        <bgColor indexed="64"/>
      </patternFill>
    </fill>
    <fill>
      <patternFill patternType="solid">
        <fgColor rgb="FFC0C0C0"/>
        <bgColor indexed="64"/>
      </patternFill>
    </fill>
    <fill>
      <patternFill patternType="solid">
        <fgColor theme="3" tint="0.5999900102615356"/>
        <bgColor indexed="64"/>
      </patternFill>
    </fill>
    <fill>
      <patternFill patternType="solid">
        <fgColor theme="2" tint="-0.24997000396251678"/>
        <bgColor indexed="64"/>
      </patternFill>
    </fill>
    <fill>
      <patternFill patternType="solid">
        <fgColor theme="2" tint="-0.24997000396251678"/>
        <bgColor indexed="64"/>
      </patternFill>
    </fill>
    <fill>
      <patternFill patternType="solid">
        <fgColor theme="5" tint="0.5999900102615356"/>
        <bgColor indexed="64"/>
      </patternFill>
    </fill>
  </fills>
  <borders count="12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55"/>
      </left>
      <right style="thin">
        <color indexed="55"/>
      </right>
      <top style="thin">
        <color indexed="55"/>
      </top>
      <bottom style="thin">
        <color indexed="55"/>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thick">
        <color indexed="8"/>
      </left>
      <right>
        <color indexed="63"/>
      </right>
      <top style="thick">
        <color indexed="8"/>
      </top>
      <bottom style="thick">
        <color indexed="8"/>
      </bottom>
    </border>
    <border>
      <left>
        <color indexed="63"/>
      </left>
      <right>
        <color indexed="63"/>
      </right>
      <top style="thick">
        <color indexed="8"/>
      </top>
      <bottom style="thick">
        <color indexed="8"/>
      </bottom>
    </border>
    <border>
      <left style="thick">
        <color indexed="8"/>
      </left>
      <right>
        <color indexed="63"/>
      </right>
      <top>
        <color indexed="63"/>
      </top>
      <bottom style="thick">
        <color indexed="8"/>
      </bottom>
    </border>
    <border>
      <left>
        <color indexed="63"/>
      </left>
      <right>
        <color indexed="63"/>
      </right>
      <top>
        <color indexed="63"/>
      </top>
      <bottom style="thick">
        <color indexed="8"/>
      </bottom>
    </border>
    <border>
      <left style="medium">
        <color indexed="8"/>
      </left>
      <right style="medium">
        <color indexed="8"/>
      </right>
      <top style="medium">
        <color indexed="8"/>
      </top>
      <bottom style="medium">
        <color indexed="8"/>
      </bottom>
    </border>
    <border>
      <left style="medium">
        <color indexed="8"/>
      </left>
      <right style="hair">
        <color indexed="8"/>
      </right>
      <top style="hair">
        <color indexed="8"/>
      </top>
      <bottom style="hair">
        <color indexed="8"/>
      </bottom>
    </border>
    <border>
      <left style="hair">
        <color indexed="8"/>
      </left>
      <right style="medium">
        <color indexed="8"/>
      </right>
      <top style="hair">
        <color indexed="8"/>
      </top>
      <bottom style="hair">
        <color indexed="8"/>
      </botto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style="medium">
        <color indexed="8"/>
      </right>
      <top style="medium">
        <color indexed="8"/>
      </top>
      <bottom style="hair">
        <color indexed="8"/>
      </bottom>
    </border>
    <border>
      <left style="medium">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medium">
        <color indexed="8"/>
      </right>
      <top>
        <color indexed="63"/>
      </top>
      <bottom style="hair">
        <color indexed="8"/>
      </bottom>
    </border>
    <border>
      <left style="hair">
        <color indexed="8"/>
      </left>
      <right style="medium">
        <color indexed="8"/>
      </right>
      <top style="hair">
        <color indexed="8"/>
      </top>
      <bottom style="medium">
        <color indexed="8"/>
      </bottom>
    </border>
    <border>
      <left>
        <color indexed="63"/>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ck">
        <color indexed="8"/>
      </left>
      <right style="thick">
        <color indexed="8"/>
      </right>
      <top>
        <color indexed="63"/>
      </top>
      <bottom style="thick">
        <color indexed="8"/>
      </bottom>
    </border>
    <border>
      <left>
        <color indexed="63"/>
      </left>
      <right style="thick">
        <color indexed="8"/>
      </right>
      <top style="thick">
        <color indexed="8"/>
      </top>
      <bottom style="thick">
        <color indexed="8"/>
      </bottom>
    </border>
    <border>
      <left style="thick">
        <color indexed="8"/>
      </left>
      <right style="thick">
        <color indexed="8"/>
      </right>
      <top style="thick">
        <color indexed="8"/>
      </top>
      <bottom style="thick">
        <color indexed="8"/>
      </bottom>
    </border>
    <border>
      <left style="thick">
        <color indexed="8"/>
      </left>
      <right>
        <color indexed="63"/>
      </right>
      <top style="thick">
        <color indexed="8"/>
      </top>
      <bottom>
        <color indexed="63"/>
      </bottom>
    </border>
    <border>
      <left>
        <color indexed="63"/>
      </left>
      <right>
        <color indexed="63"/>
      </right>
      <top style="thick">
        <color indexed="8"/>
      </top>
      <bottom>
        <color indexed="63"/>
      </bottom>
    </border>
    <border>
      <left>
        <color indexed="63"/>
      </left>
      <right style="thick">
        <color indexed="8"/>
      </right>
      <top style="thick">
        <color indexed="8"/>
      </top>
      <bottom>
        <color indexed="63"/>
      </bottom>
    </border>
    <border>
      <left>
        <color indexed="63"/>
      </left>
      <right style="thin">
        <color indexed="8"/>
      </right>
      <top style="thin">
        <color indexed="8"/>
      </top>
      <bottom style="thin">
        <color indexed="8"/>
      </bottom>
    </border>
    <border>
      <left style="thin"/>
      <right style="thin"/>
      <top style="thin"/>
      <bottom style="thin"/>
    </border>
    <border>
      <left>
        <color indexed="63"/>
      </left>
      <right>
        <color indexed="63"/>
      </right>
      <top style="hair">
        <color indexed="8"/>
      </top>
      <bottom style="hair">
        <color indexed="8"/>
      </bottom>
    </border>
    <border>
      <left style="hair">
        <color indexed="8"/>
      </left>
      <right style="thick">
        <color indexed="8"/>
      </right>
      <top style="hair">
        <color indexed="8"/>
      </top>
      <bottom style="hair">
        <color indexed="8"/>
      </bottom>
    </border>
    <border>
      <left style="medium">
        <color indexed="8"/>
      </left>
      <right style="hair">
        <color indexed="8"/>
      </right>
      <top style="hair">
        <color indexed="8"/>
      </top>
      <bottom style="medium">
        <color indexed="8"/>
      </bottom>
    </border>
    <border>
      <left style="hair">
        <color indexed="8"/>
      </left>
      <right style="hair">
        <color indexed="8"/>
      </right>
      <top style="hair">
        <color indexed="8"/>
      </top>
      <bottom>
        <color indexed="63"/>
      </bottom>
    </border>
    <border>
      <left>
        <color indexed="63"/>
      </left>
      <right style="medium">
        <color indexed="8"/>
      </right>
      <top style="medium">
        <color indexed="8"/>
      </top>
      <bottom style="medium">
        <color indexed="8"/>
      </bottom>
    </border>
    <border>
      <left style="medium"/>
      <right style="thin"/>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color indexed="63"/>
      </left>
      <right style="medium">
        <color indexed="8"/>
      </right>
      <top>
        <color indexed="63"/>
      </top>
      <bottom style="medium">
        <color indexed="8"/>
      </bottom>
    </border>
    <border>
      <left>
        <color indexed="63"/>
      </left>
      <right style="thick">
        <color indexed="8"/>
      </right>
      <top>
        <color indexed="63"/>
      </top>
      <bottom>
        <color indexed="63"/>
      </bottom>
    </border>
    <border>
      <left style="thick">
        <color indexed="8"/>
      </left>
      <right>
        <color indexed="63"/>
      </right>
      <top>
        <color indexed="63"/>
      </top>
      <bottom>
        <color indexed="63"/>
      </bottom>
    </border>
    <border>
      <left style="medium">
        <color indexed="8"/>
      </left>
      <right>
        <color indexed="63"/>
      </right>
      <top style="medium">
        <color indexed="8"/>
      </top>
      <bottom style="medium">
        <color indexed="8"/>
      </bottom>
    </border>
    <border>
      <left style="medium"/>
      <right style="medium">
        <color indexed="8"/>
      </right>
      <top style="medium"/>
      <bottom style="medium">
        <color indexed="8"/>
      </bottom>
    </border>
    <border>
      <left style="medium"/>
      <right style="hair">
        <color indexed="8"/>
      </right>
      <top style="medium">
        <color indexed="8"/>
      </top>
      <bottom style="hair">
        <color indexed="8"/>
      </bottom>
    </border>
    <border>
      <left style="hair">
        <color indexed="8"/>
      </left>
      <right style="medium"/>
      <top style="medium">
        <color indexed="8"/>
      </top>
      <bottom style="hair">
        <color indexed="8"/>
      </bottom>
    </border>
    <border>
      <left style="medium"/>
      <right style="hair">
        <color indexed="8"/>
      </right>
      <top style="hair">
        <color indexed="8"/>
      </top>
      <bottom style="hair">
        <color indexed="8"/>
      </bottom>
    </border>
    <border>
      <left style="hair">
        <color indexed="8"/>
      </left>
      <right style="medium"/>
      <top style="hair">
        <color indexed="8"/>
      </top>
      <bottom style="hair">
        <color indexed="8"/>
      </bottom>
    </border>
    <border>
      <left style="medium"/>
      <right style="hair">
        <color indexed="8"/>
      </right>
      <top>
        <color indexed="63"/>
      </top>
      <bottom style="hair">
        <color indexed="8"/>
      </bottom>
    </border>
    <border>
      <left style="hair">
        <color indexed="8"/>
      </left>
      <right style="medium"/>
      <top>
        <color indexed="63"/>
      </top>
      <bottom style="hair">
        <color indexed="8"/>
      </bottom>
    </border>
    <border>
      <left style="medium"/>
      <right style="hair">
        <color indexed="8"/>
      </right>
      <top style="hair">
        <color indexed="8"/>
      </top>
      <bottom style="medium"/>
    </border>
    <border>
      <left style="medium">
        <color indexed="8"/>
      </left>
      <right style="hair">
        <color indexed="8"/>
      </right>
      <top style="hair">
        <color indexed="8"/>
      </top>
      <bottom style="medium"/>
    </border>
    <border>
      <left style="hair">
        <color indexed="8"/>
      </left>
      <right style="medium"/>
      <top style="hair">
        <color indexed="8"/>
      </top>
      <bottom style="medium"/>
    </border>
    <border>
      <left style="medium"/>
      <right>
        <color indexed="63"/>
      </right>
      <top style="medium"/>
      <bottom style="medium">
        <color indexed="8"/>
      </bottom>
    </border>
    <border>
      <left>
        <color indexed="63"/>
      </left>
      <right style="medium"/>
      <top>
        <color indexed="63"/>
      </top>
      <bottom>
        <color indexed="63"/>
      </bottom>
    </border>
    <border>
      <left style="medium">
        <color indexed="8"/>
      </left>
      <right style="hair">
        <color indexed="8"/>
      </right>
      <top style="hair">
        <color indexed="8"/>
      </top>
      <bottom>
        <color indexed="63"/>
      </bottom>
    </border>
    <border>
      <left>
        <color indexed="63"/>
      </left>
      <right style="hair">
        <color indexed="8"/>
      </right>
      <top style="hair">
        <color indexed="8"/>
      </top>
      <bottom>
        <color indexed="63"/>
      </bottom>
    </border>
    <border>
      <left style="hair">
        <color indexed="8"/>
      </left>
      <right style="medium">
        <color indexed="8"/>
      </right>
      <top style="hair">
        <color indexed="8"/>
      </top>
      <bottom>
        <color indexed="63"/>
      </bottom>
    </border>
    <border>
      <left style="medium"/>
      <right>
        <color indexed="63"/>
      </right>
      <top style="medium"/>
      <bottom>
        <color indexed="63"/>
      </bottom>
    </border>
    <border>
      <left style="thin">
        <color rgb="FF000000"/>
      </left>
      <right style="thin">
        <color rgb="FF000000"/>
      </right>
      <top style="thin">
        <color rgb="FF000000"/>
      </top>
      <bottom style="thin">
        <color rgb="FF000000"/>
      </bottom>
    </border>
    <border>
      <left style="medium">
        <color indexed="8"/>
      </left>
      <right style="hair">
        <color indexed="8"/>
      </right>
      <top style="medium">
        <color indexed="8"/>
      </top>
      <bottom>
        <color indexed="63"/>
      </bottom>
    </border>
    <border>
      <left style="hair">
        <color indexed="8"/>
      </left>
      <right style="hair">
        <color indexed="8"/>
      </right>
      <top>
        <color indexed="63"/>
      </top>
      <bottom>
        <color indexed="63"/>
      </bottom>
    </border>
    <border>
      <left style="hair">
        <color indexed="8"/>
      </left>
      <right style="medium">
        <color indexed="8"/>
      </right>
      <top>
        <color indexed="63"/>
      </top>
      <bottom>
        <color indexed="63"/>
      </bottom>
    </border>
    <border>
      <left style="medium">
        <color indexed="8"/>
      </left>
      <right style="hair">
        <color indexed="8"/>
      </right>
      <top>
        <color indexed="63"/>
      </top>
      <bottom style="medium">
        <color indexed="8"/>
      </bottom>
    </border>
    <border>
      <left style="hair">
        <color indexed="8"/>
      </left>
      <right style="medium">
        <color indexed="8"/>
      </right>
      <top>
        <color indexed="63"/>
      </top>
      <bottom style="medium">
        <color indexed="8"/>
      </bottom>
    </border>
    <border>
      <left style="thin"/>
      <right>
        <color indexed="63"/>
      </right>
      <top style="thin"/>
      <bottom style="thin"/>
    </border>
    <border>
      <left style="medium">
        <color indexed="8"/>
      </left>
      <right>
        <color indexed="63"/>
      </right>
      <top style="medium">
        <color indexed="8"/>
      </top>
      <bottom>
        <color indexed="63"/>
      </bottom>
    </border>
    <border>
      <left style="medium"/>
      <right style="hair">
        <color indexed="8"/>
      </right>
      <top style="medium"/>
      <bottom style="hair">
        <color indexed="8"/>
      </bottom>
    </border>
    <border>
      <left style="hair">
        <color indexed="8"/>
      </left>
      <right style="hair">
        <color indexed="8"/>
      </right>
      <top style="medium"/>
      <bottom style="hair">
        <color indexed="8"/>
      </bottom>
    </border>
    <border>
      <left style="hair">
        <color indexed="8"/>
      </left>
      <right style="medium"/>
      <top style="medium"/>
      <bottom style="hair">
        <color indexed="8"/>
      </bottom>
    </border>
    <border>
      <left/>
      <right/>
      <top/>
      <bottom style="medium">
        <color rgb="FFBFBFBF"/>
      </bottom>
    </border>
    <border>
      <left style="medium">
        <color rgb="FFBFBFBF"/>
      </left>
      <right style="medium">
        <color rgb="FFBFBFBF"/>
      </right>
      <top style="medium">
        <color rgb="FFBFBFBF"/>
      </top>
      <bottom style="medium">
        <color rgb="FFBFBFBF"/>
      </bottom>
    </border>
    <border>
      <left>
        <color indexed="63"/>
      </left>
      <right style="thin"/>
      <top style="thin"/>
      <bottom style="thin"/>
    </border>
    <border>
      <left style="medium"/>
      <right style="medium"/>
      <top/>
      <bottom style="medium"/>
    </border>
    <border>
      <left/>
      <right style="medium">
        <color rgb="FFBFBFBF"/>
      </right>
      <top style="medium">
        <color rgb="FFBFBFBF"/>
      </top>
      <bottom style="medium">
        <color rgb="FFBFBFBF"/>
      </bottom>
    </border>
    <border>
      <left/>
      <right style="medium">
        <color rgb="FFBFBFBF"/>
      </right>
      <top/>
      <bottom style="medium">
        <color rgb="FFBFBFBF"/>
      </bottom>
    </border>
    <border>
      <left>
        <color indexed="63"/>
      </left>
      <right>
        <color indexed="63"/>
      </right>
      <top>
        <color indexed="63"/>
      </top>
      <bottom style="thin"/>
    </border>
    <border>
      <left>
        <color indexed="63"/>
      </left>
      <right style="thin"/>
      <top/>
      <bottom>
        <color indexed="63"/>
      </bottom>
    </border>
    <border>
      <left style="thin"/>
      <right style="thin"/>
      <top/>
      <bottom style="thin"/>
    </border>
    <border>
      <left>
        <color indexed="63"/>
      </left>
      <right style="thick">
        <color indexed="8"/>
      </right>
      <top>
        <color indexed="63"/>
      </top>
      <bottom style="thick">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8"/>
      </left>
      <right>
        <color indexed="63"/>
      </right>
      <top style="hair">
        <color indexed="8"/>
      </top>
      <bottom style="hair">
        <color indexed="8"/>
      </bottom>
    </border>
    <border>
      <left>
        <color indexed="63"/>
      </left>
      <right>
        <color indexed="63"/>
      </right>
      <top style="medium">
        <color indexed="8"/>
      </top>
      <bottom style="medium">
        <color indexed="8"/>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style="thin"/>
    </border>
    <border>
      <left style="thin"/>
      <right style="medium"/>
      <top style="medium"/>
      <bottom style="thin"/>
    </border>
    <border>
      <left style="medium">
        <color indexed="8"/>
      </left>
      <right>
        <color indexed="63"/>
      </right>
      <top>
        <color indexed="63"/>
      </top>
      <bottom>
        <color indexed="63"/>
      </bottom>
    </border>
    <border>
      <left style="medium">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thin"/>
      <right>
        <color indexed="63"/>
      </right>
      <top>
        <color indexed="63"/>
      </top>
      <bottom>
        <color indexed="63"/>
      </bottom>
    </border>
    <border>
      <left>
        <color indexed="63"/>
      </left>
      <right>
        <color indexed="63"/>
      </right>
      <top style="hair">
        <color indexed="8"/>
      </top>
      <bottom style="medium">
        <color indexed="8"/>
      </bottom>
    </border>
    <border>
      <left style="medium">
        <color indexed="8"/>
      </left>
      <right>
        <color indexed="63"/>
      </right>
      <top style="medium"/>
      <bottom style="medium">
        <color indexed="8"/>
      </bottom>
    </border>
    <border>
      <left>
        <color indexed="63"/>
      </left>
      <right>
        <color indexed="63"/>
      </right>
      <top style="medium"/>
      <bottom style="medium">
        <color indexed="8"/>
      </bottom>
    </border>
    <border>
      <left>
        <color indexed="63"/>
      </left>
      <right style="medium"/>
      <top style="medium"/>
      <bottom style="medium">
        <color indexed="8"/>
      </bottom>
    </border>
    <border>
      <left>
        <color indexed="63"/>
      </left>
      <right style="medium">
        <color indexed="8"/>
      </right>
      <top>
        <color indexed="63"/>
      </top>
      <bottom>
        <color indexed="63"/>
      </bottom>
    </border>
    <border>
      <left style="thin"/>
      <right>
        <color indexed="63"/>
      </right>
      <top>
        <color indexed="63"/>
      </top>
      <bottom style="thin"/>
    </border>
    <border>
      <left style="medium"/>
      <right/>
      <top/>
      <bottom style="medium"/>
    </border>
    <border>
      <left/>
      <right/>
      <top/>
      <bottom style="medium"/>
    </border>
    <border>
      <left/>
      <right style="medium"/>
      <top/>
      <bottom style="medium"/>
    </border>
    <border>
      <left style="thin"/>
      <right style="thin"/>
      <top/>
      <bottom/>
    </border>
    <border>
      <left/>
      <right style="thin"/>
      <top/>
      <bottom style="thin"/>
    </border>
  </borders>
  <cellStyleXfs count="2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0" fillId="3" borderId="0" applyNumberFormat="0" applyBorder="0" applyAlignment="0" applyProtection="0"/>
    <xf numFmtId="0" fontId="87" fillId="4" borderId="0" applyNumberFormat="0" applyBorder="0" applyAlignment="0" applyProtection="0"/>
    <xf numFmtId="0" fontId="0" fillId="5" borderId="0" applyNumberFormat="0" applyBorder="0" applyAlignment="0" applyProtection="0"/>
    <xf numFmtId="0" fontId="87" fillId="6" borderId="0" applyNumberFormat="0" applyBorder="0" applyAlignment="0" applyProtection="0"/>
    <xf numFmtId="0" fontId="0" fillId="7" borderId="0" applyNumberFormat="0" applyBorder="0" applyAlignment="0" applyProtection="0"/>
    <xf numFmtId="0" fontId="87" fillId="8" borderId="0" applyNumberFormat="0" applyBorder="0" applyAlignment="0" applyProtection="0"/>
    <xf numFmtId="0" fontId="0" fillId="9" borderId="0" applyNumberFormat="0" applyBorder="0" applyAlignment="0" applyProtection="0"/>
    <xf numFmtId="0" fontId="87" fillId="10" borderId="0" applyNumberFormat="0" applyBorder="0" applyAlignment="0" applyProtection="0"/>
    <xf numFmtId="0" fontId="0" fillId="11" borderId="0" applyNumberFormat="0" applyBorder="0" applyAlignment="0" applyProtection="0"/>
    <xf numFmtId="0" fontId="87" fillId="12" borderId="0" applyNumberFormat="0" applyBorder="0" applyAlignment="0" applyProtection="0"/>
    <xf numFmtId="0" fontId="0" fillId="13" borderId="0" applyNumberFormat="0" applyBorder="0" applyAlignment="0" applyProtection="0"/>
    <xf numFmtId="0" fontId="87" fillId="14" borderId="0" applyNumberFormat="0" applyBorder="0" applyAlignment="0" applyProtection="0"/>
    <xf numFmtId="0" fontId="0" fillId="15" borderId="0" applyNumberFormat="0" applyBorder="0" applyAlignment="0" applyProtection="0"/>
    <xf numFmtId="0" fontId="87" fillId="16" borderId="0" applyNumberFormat="0" applyBorder="0" applyAlignment="0" applyProtection="0"/>
    <xf numFmtId="0" fontId="0" fillId="17" borderId="0" applyNumberFormat="0" applyBorder="0" applyAlignment="0" applyProtection="0"/>
    <xf numFmtId="0" fontId="87" fillId="18" borderId="0" applyNumberFormat="0" applyBorder="0" applyAlignment="0" applyProtection="0"/>
    <xf numFmtId="0" fontId="0" fillId="19" borderId="0" applyNumberFormat="0" applyBorder="0" applyAlignment="0" applyProtection="0"/>
    <xf numFmtId="0" fontId="87" fillId="20" borderId="0" applyNumberFormat="0" applyBorder="0" applyAlignment="0" applyProtection="0"/>
    <xf numFmtId="0" fontId="0" fillId="9" borderId="0" applyNumberFormat="0" applyBorder="0" applyAlignment="0" applyProtection="0"/>
    <xf numFmtId="0" fontId="87" fillId="21" borderId="0" applyNumberFormat="0" applyBorder="0" applyAlignment="0" applyProtection="0"/>
    <xf numFmtId="0" fontId="0" fillId="15" borderId="0" applyNumberFormat="0" applyBorder="0" applyAlignment="0" applyProtection="0"/>
    <xf numFmtId="0" fontId="87" fillId="22" borderId="0" applyNumberFormat="0" applyBorder="0" applyAlignment="0" applyProtection="0"/>
    <xf numFmtId="0" fontId="0" fillId="23" borderId="0" applyNumberFormat="0" applyBorder="0" applyAlignment="0" applyProtection="0"/>
    <xf numFmtId="0" fontId="88" fillId="24" borderId="0" applyNumberFormat="0" applyBorder="0" applyAlignment="0" applyProtection="0"/>
    <xf numFmtId="0" fontId="14" fillId="25" borderId="0" applyNumberFormat="0" applyBorder="0" applyAlignment="0" applyProtection="0"/>
    <xf numFmtId="0" fontId="88" fillId="26" borderId="0" applyNumberFormat="0" applyBorder="0" applyAlignment="0" applyProtection="0"/>
    <xf numFmtId="0" fontId="14" fillId="17" borderId="0" applyNumberFormat="0" applyBorder="0" applyAlignment="0" applyProtection="0"/>
    <xf numFmtId="0" fontId="88" fillId="27" borderId="0" applyNumberFormat="0" applyBorder="0" applyAlignment="0" applyProtection="0"/>
    <xf numFmtId="0" fontId="14" fillId="19" borderId="0" applyNumberFormat="0" applyBorder="0" applyAlignment="0" applyProtection="0"/>
    <xf numFmtId="0" fontId="88" fillId="28" borderId="0" applyNumberFormat="0" applyBorder="0" applyAlignment="0" applyProtection="0"/>
    <xf numFmtId="0" fontId="14" fillId="29" borderId="0" applyNumberFormat="0" applyBorder="0" applyAlignment="0" applyProtection="0"/>
    <xf numFmtId="0" fontId="88" fillId="30" borderId="0" applyNumberFormat="0" applyBorder="0" applyAlignment="0" applyProtection="0"/>
    <xf numFmtId="0" fontId="14" fillId="31" borderId="0" applyNumberFormat="0" applyBorder="0" applyAlignment="0" applyProtection="0"/>
    <xf numFmtId="0" fontId="88" fillId="32" borderId="0" applyNumberFormat="0" applyBorder="0" applyAlignment="0" applyProtection="0"/>
    <xf numFmtId="0" fontId="14" fillId="33" borderId="0" applyNumberFormat="0" applyBorder="0" applyAlignment="0" applyProtection="0"/>
    <xf numFmtId="0" fontId="89" fillId="34" borderId="0" applyNumberFormat="0" applyBorder="0" applyAlignment="0" applyProtection="0"/>
    <xf numFmtId="0" fontId="23" fillId="7" borderId="0" applyNumberFormat="0" applyBorder="0" applyAlignment="0" applyProtection="0"/>
    <xf numFmtId="0" fontId="90" fillId="35" borderId="1" applyNumberFormat="0" applyAlignment="0" applyProtection="0"/>
    <xf numFmtId="0" fontId="15" fillId="36" borderId="2" applyNumberFormat="0" applyAlignment="0" applyProtection="0"/>
    <xf numFmtId="0" fontId="91" fillId="37" borderId="3" applyNumberFormat="0" applyAlignment="0" applyProtection="0"/>
    <xf numFmtId="0" fontId="12" fillId="38" borderId="4" applyNumberFormat="0" applyAlignment="0" applyProtection="0"/>
    <xf numFmtId="0" fontId="92" fillId="0" borderId="5" applyNumberFormat="0" applyFill="0" applyAlignment="0" applyProtection="0"/>
    <xf numFmtId="0" fontId="16" fillId="0" borderId="6" applyNumberFormat="0" applyFill="0" applyAlignment="0" applyProtection="0"/>
    <xf numFmtId="0" fontId="53" fillId="0" borderId="0">
      <alignment/>
      <protection locked="0"/>
    </xf>
    <xf numFmtId="0" fontId="88" fillId="39" borderId="0" applyNumberFormat="0" applyBorder="0" applyAlignment="0" applyProtection="0"/>
    <xf numFmtId="0" fontId="14" fillId="40" borderId="0" applyNumberFormat="0" applyBorder="0" applyAlignment="0" applyProtection="0"/>
    <xf numFmtId="0" fontId="88" fillId="41" borderId="0" applyNumberFormat="0" applyBorder="0" applyAlignment="0" applyProtection="0"/>
    <xf numFmtId="0" fontId="14" fillId="42" borderId="0" applyNumberFormat="0" applyBorder="0" applyAlignment="0" applyProtection="0"/>
    <xf numFmtId="0" fontId="88" fillId="43" borderId="0" applyNumberFormat="0" applyBorder="0" applyAlignment="0" applyProtection="0"/>
    <xf numFmtId="0" fontId="14" fillId="44" borderId="0" applyNumberFormat="0" applyBorder="0" applyAlignment="0" applyProtection="0"/>
    <xf numFmtId="0" fontId="88" fillId="45" borderId="0" applyNumberFormat="0" applyBorder="0" applyAlignment="0" applyProtection="0"/>
    <xf numFmtId="0" fontId="14" fillId="29" borderId="0" applyNumberFormat="0" applyBorder="0" applyAlignment="0" applyProtection="0"/>
    <xf numFmtId="0" fontId="88" fillId="46" borderId="0" applyNumberFormat="0" applyBorder="0" applyAlignment="0" applyProtection="0"/>
    <xf numFmtId="0" fontId="14" fillId="31" borderId="0" applyNumberFormat="0" applyBorder="0" applyAlignment="0" applyProtection="0"/>
    <xf numFmtId="0" fontId="88" fillId="47" borderId="0" applyNumberFormat="0" applyBorder="0" applyAlignment="0" applyProtection="0"/>
    <xf numFmtId="0" fontId="14" fillId="48" borderId="0" applyNumberFormat="0" applyBorder="0" applyAlignment="0" applyProtection="0"/>
    <xf numFmtId="0" fontId="93" fillId="49" borderId="1" applyNumberFormat="0" applyAlignment="0" applyProtection="0"/>
    <xf numFmtId="0" fontId="17" fillId="13" borderId="2" applyNumberFormat="0" applyAlignment="0" applyProtection="0"/>
    <xf numFmtId="9" fontId="94" fillId="0" borderId="0" applyBorder="0" applyProtection="0">
      <alignment/>
    </xf>
    <xf numFmtId="209" fontId="53" fillId="0" borderId="0">
      <alignment/>
      <protection locked="0"/>
    </xf>
    <xf numFmtId="0" fontId="2" fillId="0" borderId="0" applyNumberFormat="0" applyBorder="0" applyProtection="0">
      <alignment horizontal="center"/>
    </xf>
    <xf numFmtId="0" fontId="2" fillId="0" borderId="0" applyNumberFormat="0" applyBorder="0" applyProtection="0">
      <alignment horizontal="center" textRotation="90"/>
    </xf>
    <xf numFmtId="0" fontId="95" fillId="0" borderId="0" applyNumberFormat="0" applyFill="0" applyBorder="0" applyAlignment="0" applyProtection="0"/>
    <xf numFmtId="0" fontId="96" fillId="0" borderId="0" applyNumberFormat="0" applyFill="0" applyBorder="0" applyAlignment="0" applyProtection="0"/>
    <xf numFmtId="0" fontId="54" fillId="0" borderId="0" applyNumberFormat="0" applyFill="0" applyBorder="0" applyAlignment="0" applyProtection="0"/>
    <xf numFmtId="0" fontId="97" fillId="50" borderId="0" applyNumberFormat="0" applyBorder="0" applyAlignment="0" applyProtection="0"/>
    <xf numFmtId="0" fontId="18" fillId="5" borderId="0" applyNumberFormat="0" applyBorder="0" applyAlignment="0" applyProtection="0"/>
    <xf numFmtId="168" fontId="0" fillId="0" borderId="0">
      <alignment/>
      <protection/>
    </xf>
    <xf numFmtId="42" fontId="1" fillId="0" borderId="0" applyFill="0" applyBorder="0" applyAlignment="0" applyProtection="0"/>
    <xf numFmtId="180" fontId="0" fillId="0" borderId="0" applyFill="0" applyBorder="0" applyAlignment="0" applyProtection="0"/>
    <xf numFmtId="179" fontId="0" fillId="0" borderId="0" applyFill="0" applyBorder="0" applyAlignment="0" applyProtection="0"/>
    <xf numFmtId="187" fontId="0" fillId="0" borderId="0" applyFill="0" applyBorder="0" applyAlignment="0" applyProtection="0"/>
    <xf numFmtId="180" fontId="0" fillId="0" borderId="0" applyFill="0" applyBorder="0" applyAlignment="0" applyProtection="0"/>
    <xf numFmtId="210" fontId="1" fillId="0" borderId="0" applyFill="0" applyBorder="0" applyAlignment="0" applyProtection="0"/>
    <xf numFmtId="0" fontId="98" fillId="51" borderId="0" applyNumberFormat="0" applyBorder="0" applyAlignment="0" applyProtection="0"/>
    <xf numFmtId="0" fontId="19"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8" fillId="0" borderId="0" applyNumberFormat="0" applyBorder="0" applyProtection="0">
      <alignment/>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211"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3" borderId="7" applyNumberFormat="0" applyFont="0" applyAlignment="0" applyProtection="0"/>
    <xf numFmtId="0" fontId="0" fillId="54" borderId="8">
      <alignment/>
      <protection/>
    </xf>
    <xf numFmtId="0" fontId="0" fillId="54" borderId="9" applyNumberFormat="0" applyAlignment="0" applyProtection="0"/>
    <xf numFmtId="212" fontId="53" fillId="0" borderId="0">
      <alignment/>
      <protection locked="0"/>
    </xf>
    <xf numFmtId="186" fontId="53" fillId="0" borderId="0">
      <alignment/>
      <protection locked="0"/>
    </xf>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1" fillId="0" borderId="0" applyFill="0" applyBorder="0" applyAlignment="0" applyProtection="0"/>
    <xf numFmtId="0" fontId="3" fillId="0" borderId="0" applyNumberFormat="0" applyBorder="0" applyProtection="0">
      <alignment/>
    </xf>
    <xf numFmtId="164" fontId="3" fillId="0" borderId="0" applyBorder="0" applyProtection="0">
      <alignment/>
    </xf>
    <xf numFmtId="0" fontId="99" fillId="35" borderId="10" applyNumberFormat="0" applyAlignment="0" applyProtection="0"/>
    <xf numFmtId="0" fontId="20" fillId="36" borderId="11" applyNumberFormat="0" applyAlignment="0" applyProtection="0"/>
    <xf numFmtId="41" fontId="1" fillId="0" borderId="0" applyFill="0" applyBorder="0" applyAlignment="0" applyProtection="0"/>
    <xf numFmtId="165" fontId="0" fillId="0" borderId="0" applyFill="0" applyBorder="0" applyAlignment="0" applyProtection="0"/>
    <xf numFmtId="181" fontId="1" fillId="0" borderId="0" applyFill="0" applyBorder="0" applyAlignment="0" applyProtection="0"/>
    <xf numFmtId="166" fontId="1" fillId="0" borderId="0" applyFill="0" applyBorder="0" applyAlignment="0" applyProtection="0"/>
    <xf numFmtId="165" fontId="0" fillId="0" borderId="0" applyFill="0" applyBorder="0" applyAlignment="0" applyProtection="0"/>
    <xf numFmtId="181" fontId="1" fillId="0" borderId="0" applyFill="0" applyBorder="0" applyAlignment="0" applyProtection="0"/>
    <xf numFmtId="181" fontId="1" fillId="0" borderId="0" applyFill="0" applyBorder="0" applyAlignment="0" applyProtection="0"/>
    <xf numFmtId="165" fontId="1" fillId="0" borderId="0" applyFill="0" applyBorder="0" applyAlignment="0" applyProtection="0"/>
    <xf numFmtId="181" fontId="1" fillId="0" borderId="0" applyFill="0" applyBorder="0" applyAlignment="0" applyProtection="0"/>
    <xf numFmtId="181" fontId="1" fillId="0" borderId="0" applyFill="0" applyBorder="0" applyAlignment="0" applyProtection="0"/>
    <xf numFmtId="181" fontId="1" fillId="0" borderId="0" applyFill="0" applyBorder="0" applyAlignment="0" applyProtection="0"/>
    <xf numFmtId="167" fontId="1" fillId="0" borderId="0">
      <alignment/>
      <protection/>
    </xf>
    <xf numFmtId="0" fontId="100" fillId="0" borderId="0" applyNumberFormat="0" applyFill="0" applyBorder="0" applyAlignment="0" applyProtection="0"/>
    <xf numFmtId="0" fontId="21" fillId="0" borderId="0" applyNumberFormat="0" applyFill="0" applyBorder="0" applyAlignment="0" applyProtection="0"/>
    <xf numFmtId="0" fontId="101" fillId="0" borderId="0" applyNumberFormat="0" applyFill="0" applyBorder="0" applyAlignment="0" applyProtection="0"/>
    <xf numFmtId="0" fontId="22" fillId="0" borderId="0" applyNumberFormat="0" applyFill="0" applyBorder="0" applyAlignment="0" applyProtection="0"/>
    <xf numFmtId="0" fontId="102" fillId="0" borderId="0" applyNumberFormat="0" applyFill="0" applyBorder="0" applyAlignment="0" applyProtection="0"/>
    <xf numFmtId="0" fontId="103" fillId="0" borderId="12"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104" fillId="0" borderId="14" applyNumberFormat="0" applyFill="0" applyAlignment="0" applyProtection="0"/>
    <xf numFmtId="0" fontId="25" fillId="0" borderId="15" applyNumberFormat="0" applyFill="0" applyAlignment="0" applyProtection="0"/>
    <xf numFmtId="0" fontId="105" fillId="0" borderId="16" applyNumberFormat="0" applyFill="0" applyAlignment="0" applyProtection="0"/>
    <xf numFmtId="0" fontId="26" fillId="0" borderId="17" applyNumberFormat="0" applyFill="0" applyAlignment="0" applyProtection="0"/>
    <xf numFmtId="0" fontId="10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213" fontId="56" fillId="0" borderId="0">
      <alignment/>
      <protection locked="0"/>
    </xf>
    <xf numFmtId="213" fontId="56" fillId="0" borderId="0">
      <alignment/>
      <protection locked="0"/>
    </xf>
    <xf numFmtId="0" fontId="106" fillId="0" borderId="18" applyNumberFormat="0" applyFill="0" applyAlignment="0" applyProtection="0"/>
    <xf numFmtId="0" fontId="7" fillId="0" borderId="19" applyNumberFormat="0" applyFill="0" applyAlignment="0" applyProtection="0"/>
    <xf numFmtId="167" fontId="1" fillId="0" borderId="0">
      <alignment/>
      <protection/>
    </xf>
    <xf numFmtId="182" fontId="0" fillId="0" borderId="0" applyFill="0" applyBorder="0" applyAlignment="0" applyProtection="0"/>
    <xf numFmtId="181" fontId="0" fillId="0" borderId="0" applyFill="0" applyBorder="0" applyAlignment="0" applyProtection="0"/>
    <xf numFmtId="182" fontId="0" fillId="0" borderId="0" applyFill="0" applyBorder="0" applyAlignment="0" applyProtection="0"/>
    <xf numFmtId="189" fontId="0" fillId="0" borderId="0" applyFill="0" applyBorder="0" applyAlignment="0" applyProtection="0"/>
  </cellStyleXfs>
  <cellXfs count="595">
    <xf numFmtId="0" fontId="0" fillId="0" borderId="0" xfId="0" applyAlignment="1">
      <alignment/>
    </xf>
    <xf numFmtId="0" fontId="0" fillId="0" borderId="0" xfId="0" applyBorder="1" applyAlignment="1">
      <alignment/>
    </xf>
    <xf numFmtId="0" fontId="0" fillId="0" borderId="0" xfId="0" applyAlignment="1">
      <alignment horizontal="right"/>
    </xf>
    <xf numFmtId="0" fontId="9" fillId="0" borderId="20" xfId="0" applyFont="1" applyBorder="1" applyAlignment="1">
      <alignment horizontal="center" vertical="center" wrapText="1"/>
    </xf>
    <xf numFmtId="0" fontId="9" fillId="0" borderId="20" xfId="0" applyFont="1" applyBorder="1" applyAlignment="1">
      <alignment horizontal="left" vertical="center" wrapText="1"/>
    </xf>
    <xf numFmtId="2" fontId="9" fillId="0" borderId="21" xfId="0" applyNumberFormat="1" applyFont="1" applyFill="1" applyBorder="1" applyAlignment="1" applyProtection="1">
      <alignment horizontal="center" vertical="center"/>
      <protection/>
    </xf>
    <xf numFmtId="0" fontId="9" fillId="0" borderId="21" xfId="0" applyFont="1" applyBorder="1" applyAlignment="1">
      <alignment horizontal="justify" vertical="center" wrapText="1"/>
    </xf>
    <xf numFmtId="0" fontId="0" fillId="55" borderId="22" xfId="0" applyFill="1" applyBorder="1" applyAlignment="1">
      <alignment/>
    </xf>
    <xf numFmtId="0" fontId="0" fillId="55" borderId="23" xfId="0" applyFill="1" applyBorder="1" applyAlignment="1">
      <alignment/>
    </xf>
    <xf numFmtId="0" fontId="12" fillId="56" borderId="22" xfId="0" applyFont="1" applyFill="1" applyBorder="1" applyAlignment="1">
      <alignment/>
    </xf>
    <xf numFmtId="0" fontId="12" fillId="56" borderId="23" xfId="0" applyFont="1" applyFill="1" applyBorder="1" applyAlignment="1">
      <alignment/>
    </xf>
    <xf numFmtId="0" fontId="0" fillId="0" borderId="0" xfId="0" applyAlignment="1">
      <alignment horizontal="center"/>
    </xf>
    <xf numFmtId="171" fontId="0" fillId="0" borderId="0" xfId="0" applyNumberFormat="1" applyAlignment="1">
      <alignment horizontal="center"/>
    </xf>
    <xf numFmtId="171" fontId="0" fillId="0" borderId="0" xfId="0" applyNumberFormat="1" applyAlignment="1">
      <alignment/>
    </xf>
    <xf numFmtId="0" fontId="0" fillId="57" borderId="24" xfId="0" applyFill="1" applyBorder="1" applyAlignment="1">
      <alignment/>
    </xf>
    <xf numFmtId="0" fontId="0" fillId="57" borderId="25" xfId="0" applyFill="1" applyBorder="1" applyAlignment="1">
      <alignment/>
    </xf>
    <xf numFmtId="0" fontId="0" fillId="58" borderId="0" xfId="0" applyFill="1" applyBorder="1" applyAlignment="1">
      <alignment/>
    </xf>
    <xf numFmtId="170" fontId="13" fillId="59" borderId="0" xfId="0" applyNumberFormat="1" applyFont="1" applyFill="1" applyBorder="1" applyAlignment="1">
      <alignment horizontal="center"/>
    </xf>
    <xf numFmtId="171" fontId="9" fillId="0" borderId="20" xfId="0" applyNumberFormat="1" applyFont="1" applyBorder="1" applyAlignment="1">
      <alignment horizontal="center" vertical="center"/>
    </xf>
    <xf numFmtId="0" fontId="8" fillId="60" borderId="26" xfId="0" applyFont="1" applyFill="1" applyBorder="1" applyAlignment="1">
      <alignment horizontal="center" vertical="center" wrapText="1"/>
    </xf>
    <xf numFmtId="167" fontId="9" fillId="0" borderId="21" xfId="0" applyNumberFormat="1" applyFont="1" applyFill="1" applyBorder="1" applyAlignment="1" applyProtection="1">
      <alignment horizontal="center" vertical="center"/>
      <protection/>
    </xf>
    <xf numFmtId="170" fontId="9" fillId="0" borderId="21" xfId="0" applyNumberFormat="1" applyFont="1" applyFill="1" applyBorder="1" applyAlignment="1" applyProtection="1">
      <alignment horizontal="center" vertical="center"/>
      <protection/>
    </xf>
    <xf numFmtId="49" fontId="9" fillId="0" borderId="27" xfId="0" applyNumberFormat="1" applyFont="1" applyBorder="1" applyAlignment="1">
      <alignment horizontal="center" vertical="center" wrapText="1"/>
    </xf>
    <xf numFmtId="170" fontId="9" fillId="0" borderId="20" xfId="83" applyNumberFormat="1" applyFont="1" applyBorder="1" applyAlignment="1" applyProtection="1">
      <alignment horizontal="center" vertical="center"/>
      <protection/>
    </xf>
    <xf numFmtId="170" fontId="9" fillId="0" borderId="28" xfId="0" applyNumberFormat="1" applyFont="1" applyBorder="1" applyAlignment="1">
      <alignment horizontal="center" vertical="center"/>
    </xf>
    <xf numFmtId="170" fontId="9" fillId="0" borderId="20" xfId="83" applyNumberFormat="1" applyFont="1" applyBorder="1" applyAlignment="1" applyProtection="1">
      <alignment horizontal="center"/>
      <protection/>
    </xf>
    <xf numFmtId="168" fontId="8" fillId="0" borderId="28" xfId="83" applyFont="1" applyBorder="1" applyAlignment="1" applyProtection="1">
      <alignment horizontal="center"/>
      <protection/>
    </xf>
    <xf numFmtId="0" fontId="8" fillId="61" borderId="29" xfId="0" applyFont="1" applyFill="1" applyBorder="1" applyAlignment="1">
      <alignment horizontal="center"/>
    </xf>
    <xf numFmtId="0" fontId="8" fillId="61" borderId="30" xfId="0" applyFont="1" applyFill="1" applyBorder="1" applyAlignment="1">
      <alignment horizontal="center"/>
    </xf>
    <xf numFmtId="171" fontId="8" fillId="61" borderId="30" xfId="0" applyNumberFormat="1" applyFont="1" applyFill="1" applyBorder="1" applyAlignment="1">
      <alignment horizontal="center"/>
    </xf>
    <xf numFmtId="0" fontId="8" fillId="61" borderId="31" xfId="0" applyFont="1" applyFill="1" applyBorder="1" applyAlignment="1">
      <alignment horizontal="center"/>
    </xf>
    <xf numFmtId="0" fontId="9" fillId="0" borderId="27" xfId="0" applyFont="1" applyBorder="1" applyAlignment="1">
      <alignment horizontal="center"/>
    </xf>
    <xf numFmtId="0" fontId="8" fillId="61" borderId="32" xfId="0" applyFont="1" applyFill="1" applyBorder="1" applyAlignment="1">
      <alignment horizontal="center"/>
    </xf>
    <xf numFmtId="0" fontId="8" fillId="61" borderId="33" xfId="0" applyFont="1" applyFill="1" applyBorder="1" applyAlignment="1">
      <alignment horizontal="center"/>
    </xf>
    <xf numFmtId="171" fontId="8" fillId="61" borderId="33" xfId="0" applyNumberFormat="1" applyFont="1" applyFill="1" applyBorder="1" applyAlignment="1">
      <alignment horizontal="center"/>
    </xf>
    <xf numFmtId="0" fontId="8" fillId="61" borderId="34" xfId="0" applyFont="1" applyFill="1" applyBorder="1" applyAlignment="1">
      <alignment horizontal="center"/>
    </xf>
    <xf numFmtId="170" fontId="8" fillId="57" borderId="35" xfId="0" applyNumberFormat="1" applyFont="1" applyFill="1" applyBorder="1" applyAlignment="1">
      <alignment horizontal="center"/>
    </xf>
    <xf numFmtId="0" fontId="9" fillId="61" borderId="29" xfId="0" applyFont="1" applyFill="1" applyBorder="1" applyAlignment="1">
      <alignment horizontal="center"/>
    </xf>
    <xf numFmtId="0" fontId="9" fillId="62" borderId="33" xfId="0" applyFont="1" applyFill="1" applyBorder="1" applyAlignment="1">
      <alignment horizontal="left"/>
    </xf>
    <xf numFmtId="168" fontId="9" fillId="0" borderId="0" xfId="83" applyFont="1" applyAlignment="1">
      <alignment horizontal="center"/>
      <protection/>
    </xf>
    <xf numFmtId="0" fontId="9" fillId="0" borderId="36" xfId="0" applyFont="1" applyBorder="1" applyAlignment="1">
      <alignment horizontal="center" vertical="center" wrapText="1"/>
    </xf>
    <xf numFmtId="0" fontId="28" fillId="0" borderId="37" xfId="0" applyNumberFormat="1" applyFont="1" applyFill="1" applyBorder="1" applyAlignment="1">
      <alignment vertical="center" wrapText="1"/>
    </xf>
    <xf numFmtId="0" fontId="29" fillId="0" borderId="37" xfId="0" applyFont="1" applyFill="1" applyBorder="1" applyAlignment="1">
      <alignment wrapText="1"/>
    </xf>
    <xf numFmtId="0" fontId="29" fillId="0" borderId="37" xfId="0" applyFont="1" applyFill="1" applyBorder="1" applyAlignment="1">
      <alignment horizontal="center"/>
    </xf>
    <xf numFmtId="188" fontId="1" fillId="63" borderId="38" xfId="0" applyNumberFormat="1" applyFont="1" applyFill="1" applyBorder="1" applyAlignment="1">
      <alignment horizontal="left" vertical="center" wrapText="1"/>
    </xf>
    <xf numFmtId="0" fontId="33" fillId="0" borderId="39" xfId="0" applyFont="1" applyBorder="1" applyAlignment="1">
      <alignment vertical="center" wrapText="1"/>
    </xf>
    <xf numFmtId="0" fontId="33" fillId="0" borderId="40" xfId="0" applyFont="1" applyBorder="1" applyAlignment="1">
      <alignment horizontal="center" vertical="center" wrapText="1"/>
    </xf>
    <xf numFmtId="0" fontId="33" fillId="0" borderId="41" xfId="0" applyFont="1" applyBorder="1" applyAlignment="1">
      <alignment horizontal="center" vertical="center" wrapText="1"/>
    </xf>
    <xf numFmtId="0" fontId="34" fillId="64" borderId="42" xfId="0" applyFont="1" applyFill="1" applyBorder="1" applyAlignment="1">
      <alignment horizontal="left"/>
    </xf>
    <xf numFmtId="0" fontId="34" fillId="64" borderId="43" xfId="0" applyFont="1" applyFill="1" applyBorder="1" applyAlignment="1">
      <alignment horizontal="center"/>
    </xf>
    <xf numFmtId="0" fontId="34" fillId="64" borderId="43" xfId="0" applyFont="1" applyFill="1" applyBorder="1" applyAlignment="1">
      <alignment horizontal="left"/>
    </xf>
    <xf numFmtId="2" fontId="34" fillId="64" borderId="43" xfId="0" applyNumberFormat="1" applyFont="1" applyFill="1" applyBorder="1" applyAlignment="1">
      <alignment horizontal="center"/>
    </xf>
    <xf numFmtId="168" fontId="34" fillId="64" borderId="44" xfId="0" applyNumberFormat="1" applyFont="1" applyFill="1" applyBorder="1" applyAlignment="1">
      <alignment horizontal="center"/>
    </xf>
    <xf numFmtId="0" fontId="29" fillId="0" borderId="37" xfId="0" applyFont="1" applyBorder="1" applyAlignment="1">
      <alignment vertical="center"/>
    </xf>
    <xf numFmtId="186" fontId="28" fillId="0" borderId="37" xfId="0" applyNumberFormat="1" applyFont="1" applyFill="1" applyBorder="1" applyAlignment="1">
      <alignment horizontal="center" vertical="center"/>
    </xf>
    <xf numFmtId="0" fontId="28" fillId="0" borderId="37" xfId="0" applyFont="1" applyFill="1" applyBorder="1" applyAlignment="1">
      <alignment vertical="center" wrapText="1"/>
    </xf>
    <xf numFmtId="167" fontId="29" fillId="0" borderId="37" xfId="0" applyNumberFormat="1" applyFont="1" applyFill="1" applyBorder="1" applyAlignment="1" applyProtection="1">
      <alignment horizontal="center" vertical="center"/>
      <protection/>
    </xf>
    <xf numFmtId="2" fontId="28" fillId="0" borderId="37" xfId="0" applyNumberFormat="1" applyFont="1" applyFill="1" applyBorder="1" applyAlignment="1" applyProtection="1">
      <alignment horizontal="center" vertical="center"/>
      <protection/>
    </xf>
    <xf numFmtId="170" fontId="28" fillId="0" borderId="37" xfId="0" applyNumberFormat="1" applyFont="1" applyFill="1" applyBorder="1" applyAlignment="1" applyProtection="1">
      <alignment horizontal="center" vertical="center"/>
      <protection/>
    </xf>
    <xf numFmtId="168" fontId="29" fillId="0" borderId="37" xfId="0" applyNumberFormat="1" applyFont="1" applyFill="1" applyBorder="1" applyAlignment="1" applyProtection="1">
      <alignment horizontal="center" vertical="center"/>
      <protection/>
    </xf>
    <xf numFmtId="0" fontId="29" fillId="0" borderId="37" xfId="0" applyFont="1" applyBorder="1" applyAlignment="1">
      <alignment vertical="center" wrapText="1"/>
    </xf>
    <xf numFmtId="0" fontId="28" fillId="0" borderId="37" xfId="0" applyNumberFormat="1" applyFont="1" applyFill="1" applyBorder="1" applyAlignment="1">
      <alignment horizontal="center" vertical="center"/>
    </xf>
    <xf numFmtId="0" fontId="29" fillId="0" borderId="37" xfId="0" applyNumberFormat="1" applyFont="1" applyBorder="1" applyAlignment="1">
      <alignment horizontal="center" vertical="center"/>
    </xf>
    <xf numFmtId="0" fontId="29" fillId="0" borderId="45" xfId="0" applyFont="1" applyBorder="1" applyAlignment="1">
      <alignment horizontal="center" vertical="center"/>
    </xf>
    <xf numFmtId="0" fontId="29" fillId="0" borderId="37" xfId="0" applyFont="1" applyBorder="1" applyAlignment="1">
      <alignment horizontal="center" vertical="center" wrapText="1"/>
    </xf>
    <xf numFmtId="0" fontId="28" fillId="0" borderId="37" xfId="0" applyFont="1" applyBorder="1" applyAlignment="1">
      <alignment horizontal="justify" vertical="center" wrapText="1"/>
    </xf>
    <xf numFmtId="0" fontId="28" fillId="0" borderId="37" xfId="0" applyFont="1" applyBorder="1" applyAlignment="1">
      <alignment horizontal="center" vertical="center" wrapText="1"/>
    </xf>
    <xf numFmtId="167" fontId="28" fillId="0" borderId="37" xfId="0" applyNumberFormat="1" applyFont="1" applyFill="1" applyBorder="1" applyAlignment="1" applyProtection="1">
      <alignment horizontal="center" vertical="center"/>
      <protection/>
    </xf>
    <xf numFmtId="168" fontId="28" fillId="0" borderId="37" xfId="0" applyNumberFormat="1" applyFont="1" applyFill="1" applyBorder="1" applyAlignment="1" applyProtection="1">
      <alignment horizontal="center" vertical="center"/>
      <protection/>
    </xf>
    <xf numFmtId="0" fontId="28" fillId="65" borderId="37" xfId="0" applyFont="1" applyFill="1" applyBorder="1" applyAlignment="1">
      <alignment horizontal="left" wrapText="1"/>
    </xf>
    <xf numFmtId="0" fontId="36" fillId="63" borderId="37" xfId="0" applyFont="1" applyFill="1" applyBorder="1" applyAlignment="1">
      <alignment horizontal="center"/>
    </xf>
    <xf numFmtId="0" fontId="29" fillId="0" borderId="37" xfId="0" applyFont="1" applyBorder="1" applyAlignment="1">
      <alignment horizontal="justify" vertical="center" wrapText="1"/>
    </xf>
    <xf numFmtId="0" fontId="28" fillId="0" borderId="37" xfId="0" applyFont="1" applyBorder="1" applyAlignment="1">
      <alignment horizontal="left" vertical="center" wrapText="1"/>
    </xf>
    <xf numFmtId="49" fontId="28" fillId="0" borderId="37" xfId="0" applyNumberFormat="1" applyFont="1" applyFill="1" applyBorder="1" applyAlignment="1">
      <alignment horizontal="center" vertical="center" wrapText="1"/>
    </xf>
    <xf numFmtId="0" fontId="28" fillId="0" borderId="37" xfId="0" applyFont="1" applyFill="1" applyBorder="1" applyAlignment="1">
      <alignment horizontal="left" vertical="center" wrapText="1"/>
    </xf>
    <xf numFmtId="0" fontId="28" fillId="0" borderId="37" xfId="0" applyFont="1" applyFill="1" applyBorder="1" applyAlignment="1">
      <alignment horizontal="center" vertical="center" wrapText="1"/>
    </xf>
    <xf numFmtId="170" fontId="28" fillId="0" borderId="37" xfId="83" applyNumberFormat="1" applyFont="1" applyFill="1" applyBorder="1" applyAlignment="1" applyProtection="1">
      <alignment horizontal="center" vertical="center"/>
      <protection/>
    </xf>
    <xf numFmtId="0" fontId="28" fillId="0" borderId="37" xfId="0" applyFont="1" applyBorder="1" applyAlignment="1">
      <alignment wrapText="1"/>
    </xf>
    <xf numFmtId="0" fontId="28" fillId="66" borderId="37" xfId="0" applyFont="1" applyFill="1" applyBorder="1" applyAlignment="1">
      <alignment horizontal="center" vertical="center" wrapText="1"/>
    </xf>
    <xf numFmtId="167" fontId="28" fillId="66" borderId="37" xfId="0" applyNumberFormat="1" applyFont="1" applyFill="1" applyBorder="1" applyAlignment="1" applyProtection="1">
      <alignment horizontal="center" vertical="center"/>
      <protection/>
    </xf>
    <xf numFmtId="2" fontId="28" fillId="66" borderId="37" xfId="0" applyNumberFormat="1" applyFont="1" applyFill="1" applyBorder="1" applyAlignment="1" applyProtection="1">
      <alignment horizontal="center" vertical="center"/>
      <protection/>
    </xf>
    <xf numFmtId="0" fontId="36" fillId="0" borderId="37" xfId="0" applyFont="1" applyBorder="1" applyAlignment="1">
      <alignment/>
    </xf>
    <xf numFmtId="0" fontId="29" fillId="0" borderId="37" xfId="0" applyFont="1" applyBorder="1" applyAlignment="1">
      <alignment wrapText="1"/>
    </xf>
    <xf numFmtId="2" fontId="29" fillId="0" borderId="37" xfId="0" applyNumberFormat="1" applyFont="1" applyFill="1" applyBorder="1" applyAlignment="1" applyProtection="1">
      <alignment horizontal="center" vertical="center"/>
      <protection/>
    </xf>
    <xf numFmtId="168" fontId="28" fillId="0" borderId="37" xfId="83" applyFont="1" applyBorder="1" applyAlignment="1" applyProtection="1">
      <alignment horizontal="center" vertical="center"/>
      <protection/>
    </xf>
    <xf numFmtId="2" fontId="28" fillId="0" borderId="21" xfId="0" applyNumberFormat="1" applyFont="1" applyFill="1" applyBorder="1" applyAlignment="1" applyProtection="1">
      <alignment horizontal="center" vertical="center"/>
      <protection/>
    </xf>
    <xf numFmtId="0" fontId="28" fillId="63" borderId="37" xfId="0" applyFont="1" applyFill="1" applyBorder="1" applyAlignment="1">
      <alignment horizontal="center"/>
    </xf>
    <xf numFmtId="2" fontId="28" fillId="63" borderId="37" xfId="0" applyNumberFormat="1" applyFont="1" applyFill="1" applyBorder="1" applyAlignment="1">
      <alignment horizontal="center"/>
    </xf>
    <xf numFmtId="0" fontId="28" fillId="63" borderId="37" xfId="0" applyFont="1" applyFill="1" applyBorder="1" applyAlignment="1">
      <alignment horizontal="left"/>
    </xf>
    <xf numFmtId="0" fontId="28" fillId="0" borderId="37" xfId="0" applyFont="1" applyBorder="1" applyAlignment="1">
      <alignment/>
    </xf>
    <xf numFmtId="0" fontId="29" fillId="0" borderId="37" xfId="0" applyFont="1" applyBorder="1" applyAlignment="1">
      <alignment horizontal="center" vertical="center"/>
    </xf>
    <xf numFmtId="0" fontId="6" fillId="0" borderId="0" xfId="0" applyFont="1" applyFill="1" applyBorder="1" applyAlignment="1">
      <alignment horizontal="center" vertical="center"/>
    </xf>
    <xf numFmtId="0" fontId="28" fillId="0" borderId="37" xfId="0" applyFont="1" applyBorder="1" applyAlignment="1">
      <alignment horizontal="center"/>
    </xf>
    <xf numFmtId="0" fontId="35" fillId="0" borderId="0" xfId="0" applyFont="1" applyAlignment="1">
      <alignment/>
    </xf>
    <xf numFmtId="0" fontId="35" fillId="0" borderId="37" xfId="0" applyFont="1" applyBorder="1" applyAlignment="1">
      <alignment horizontal="justify"/>
    </xf>
    <xf numFmtId="0" fontId="35" fillId="0" borderId="0" xfId="0" applyFont="1" applyAlignment="1">
      <alignment horizontal="left" vertical="center"/>
    </xf>
    <xf numFmtId="0" fontId="35" fillId="0" borderId="37" xfId="0" applyFont="1" applyFill="1" applyBorder="1" applyAlignment="1">
      <alignment horizontal="center"/>
    </xf>
    <xf numFmtId="171" fontId="35" fillId="0" borderId="37" xfId="0" applyNumberFormat="1" applyFont="1" applyFill="1" applyBorder="1" applyAlignment="1">
      <alignment horizontal="justify"/>
    </xf>
    <xf numFmtId="190" fontId="35" fillId="0" borderId="37" xfId="0" applyNumberFormat="1" applyFont="1" applyFill="1" applyBorder="1" applyAlignment="1">
      <alignment horizontal="justify"/>
    </xf>
    <xf numFmtId="0" fontId="35" fillId="0" borderId="37" xfId="0" applyFont="1" applyBorder="1" applyAlignment="1">
      <alignment/>
    </xf>
    <xf numFmtId="0" fontId="28" fillId="0" borderId="0" xfId="0" applyFont="1" applyAlignment="1">
      <alignment horizontal="center"/>
    </xf>
    <xf numFmtId="0" fontId="28" fillId="0" borderId="21" xfId="0" applyFont="1" applyFill="1" applyBorder="1" applyAlignment="1">
      <alignment horizontal="center" vertical="center" wrapText="1"/>
    </xf>
    <xf numFmtId="0" fontId="28" fillId="0" borderId="46" xfId="0" applyFont="1" applyFill="1" applyBorder="1" applyAlignment="1">
      <alignment horizontal="justify" vertical="center" wrapText="1"/>
    </xf>
    <xf numFmtId="167" fontId="28" fillId="0" borderId="47" xfId="0" applyNumberFormat="1" applyFont="1" applyFill="1" applyBorder="1" applyAlignment="1" applyProtection="1">
      <alignment horizontal="center" vertical="center"/>
      <protection/>
    </xf>
    <xf numFmtId="170" fontId="28" fillId="0" borderId="21" xfId="0" applyNumberFormat="1" applyFont="1" applyFill="1" applyBorder="1" applyAlignment="1" applyProtection="1">
      <alignment horizontal="center" vertical="center"/>
      <protection/>
    </xf>
    <xf numFmtId="168" fontId="28" fillId="0" borderId="48" xfId="0" applyNumberFormat="1" applyFont="1" applyFill="1" applyBorder="1" applyAlignment="1" applyProtection="1">
      <alignment horizontal="center" vertical="center"/>
      <protection/>
    </xf>
    <xf numFmtId="0" fontId="94" fillId="0" borderId="46" xfId="0" applyFont="1" applyBorder="1" applyAlignment="1">
      <alignment horizontal="right"/>
    </xf>
    <xf numFmtId="0" fontId="94" fillId="0" borderId="46" xfId="0" applyFont="1" applyBorder="1" applyAlignment="1">
      <alignment horizontal="left"/>
    </xf>
    <xf numFmtId="0" fontId="94" fillId="0" borderId="46" xfId="0" applyFont="1" applyBorder="1" applyAlignment="1">
      <alignment horizontal="center"/>
    </xf>
    <xf numFmtId="197" fontId="107" fillId="0" borderId="46" xfId="0" applyNumberFormat="1" applyFont="1" applyBorder="1" applyAlignment="1" applyProtection="1">
      <alignment horizontal="center" vertical="top"/>
      <protection/>
    </xf>
    <xf numFmtId="0" fontId="107" fillId="67" borderId="46" xfId="0" applyFont="1" applyFill="1" applyBorder="1" applyAlignment="1">
      <alignment vertical="center" wrapText="1"/>
    </xf>
    <xf numFmtId="4" fontId="107" fillId="0" borderId="46" xfId="0" applyNumberFormat="1" applyFont="1" applyBorder="1" applyAlignment="1" applyProtection="1">
      <alignment horizontal="center" vertical="center"/>
      <protection/>
    </xf>
    <xf numFmtId="10" fontId="94" fillId="0" borderId="46" xfId="74" applyNumberFormat="1" applyFont="1" applyFill="1" applyBorder="1" applyAlignment="1">
      <alignment horizontal="right"/>
    </xf>
    <xf numFmtId="10" fontId="94" fillId="0" borderId="46" xfId="74" applyNumberFormat="1" applyFont="1" applyFill="1" applyBorder="1" applyAlignment="1">
      <alignment/>
    </xf>
    <xf numFmtId="0" fontId="107" fillId="0" borderId="46" xfId="0" applyFont="1" applyBorder="1" applyAlignment="1" applyProtection="1">
      <alignment horizontal="center" vertical="top"/>
      <protection/>
    </xf>
    <xf numFmtId="0" fontId="107" fillId="0" borderId="46" xfId="0" applyFont="1" applyBorder="1" applyAlignment="1" applyProtection="1">
      <alignment vertical="top"/>
      <protection/>
    </xf>
    <xf numFmtId="0" fontId="107" fillId="0" borderId="46" xfId="0" applyFont="1" applyBorder="1" applyAlignment="1" applyProtection="1">
      <alignment horizontal="center" vertical="center"/>
      <protection/>
    </xf>
    <xf numFmtId="0" fontId="107" fillId="0" borderId="46" xfId="0" applyFont="1" applyBorder="1" applyAlignment="1" applyProtection="1">
      <alignment horizontal="justify" vertical="top"/>
      <protection/>
    </xf>
    <xf numFmtId="0" fontId="108" fillId="67" borderId="46" xfId="0" applyFont="1" applyFill="1" applyBorder="1" applyAlignment="1">
      <alignment vertical="center" wrapText="1"/>
    </xf>
    <xf numFmtId="0" fontId="107" fillId="0" borderId="46" xfId="0" applyFont="1" applyBorder="1" applyAlignment="1" applyProtection="1">
      <alignment/>
      <protection/>
    </xf>
    <xf numFmtId="10" fontId="109" fillId="0" borderId="46" xfId="0" applyNumberFormat="1" applyFont="1" applyBorder="1" applyAlignment="1">
      <alignment horizontal="right"/>
    </xf>
    <xf numFmtId="0" fontId="94" fillId="0" borderId="46" xfId="0" applyFont="1" applyBorder="1" applyAlignment="1" applyProtection="1">
      <alignment horizontal="right"/>
      <protection/>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2" fontId="0" fillId="0" borderId="0" xfId="0" applyNumberFormat="1" applyAlignment="1">
      <alignment/>
    </xf>
    <xf numFmtId="168" fontId="0" fillId="0" borderId="0" xfId="83">
      <alignment/>
      <protection/>
    </xf>
    <xf numFmtId="168" fontId="0" fillId="0" borderId="0" xfId="0" applyNumberFormat="1" applyAlignment="1">
      <alignment/>
    </xf>
    <xf numFmtId="4" fontId="0" fillId="0" borderId="0" xfId="0" applyNumberFormat="1" applyAlignment="1">
      <alignment/>
    </xf>
    <xf numFmtId="0" fontId="8" fillId="0" borderId="20" xfId="0" applyFont="1" applyBorder="1" applyAlignment="1">
      <alignment horizontal="right"/>
    </xf>
    <xf numFmtId="0" fontId="8" fillId="57" borderId="49" xfId="0" applyFont="1" applyFill="1" applyBorder="1" applyAlignment="1">
      <alignment horizontal="right"/>
    </xf>
    <xf numFmtId="0" fontId="4" fillId="0" borderId="50" xfId="0" applyFont="1" applyBorder="1" applyAlignment="1">
      <alignment horizontal="center" vertical="center"/>
    </xf>
    <xf numFmtId="0" fontId="110" fillId="68" borderId="46" xfId="0" applyFont="1" applyFill="1" applyBorder="1" applyAlignment="1">
      <alignment vertical="center" wrapText="1"/>
    </xf>
    <xf numFmtId="0" fontId="110" fillId="68" borderId="46" xfId="0" applyFont="1" applyFill="1" applyBorder="1" applyAlignment="1">
      <alignment horizontal="center" vertical="center" wrapText="1"/>
    </xf>
    <xf numFmtId="0" fontId="110" fillId="68" borderId="46" xfId="0" applyFont="1" applyFill="1" applyBorder="1" applyAlignment="1">
      <alignment horizontal="right" vertical="center" wrapText="1"/>
    </xf>
    <xf numFmtId="201" fontId="109" fillId="0" borderId="46" xfId="0" applyNumberFormat="1" applyFont="1" applyFill="1" applyBorder="1" applyAlignment="1">
      <alignment horizontal="center" vertical="center"/>
    </xf>
    <xf numFmtId="0" fontId="109" fillId="0" borderId="46" xfId="0" applyFont="1" applyFill="1" applyBorder="1" applyAlignment="1">
      <alignment horizontal="center" vertical="center"/>
    </xf>
    <xf numFmtId="0" fontId="9" fillId="60" borderId="51" xfId="0" applyFont="1" applyFill="1" applyBorder="1" applyAlignment="1">
      <alignment vertical="center" wrapText="1"/>
    </xf>
    <xf numFmtId="0" fontId="9" fillId="0" borderId="51" xfId="0" applyFont="1" applyFill="1" applyBorder="1" applyAlignment="1">
      <alignment vertical="center" wrapText="1"/>
    </xf>
    <xf numFmtId="0" fontId="8" fillId="57" borderId="49" xfId="0" applyFont="1" applyFill="1" applyBorder="1" applyAlignment="1">
      <alignment horizontal="right" wrapText="1"/>
    </xf>
    <xf numFmtId="0" fontId="5"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Border="1" applyAlignment="1">
      <alignment vertical="center"/>
    </xf>
    <xf numFmtId="0" fontId="8" fillId="61" borderId="46" xfId="0" applyFont="1" applyFill="1" applyBorder="1" applyAlignment="1">
      <alignment horizontal="center"/>
    </xf>
    <xf numFmtId="171" fontId="8" fillId="61" borderId="46" xfId="0" applyNumberFormat="1" applyFont="1" applyFill="1" applyBorder="1" applyAlignment="1">
      <alignment horizontal="center"/>
    </xf>
    <xf numFmtId="170" fontId="9" fillId="0" borderId="46" xfId="83" applyNumberFormat="1" applyFont="1" applyBorder="1" applyAlignment="1" applyProtection="1">
      <alignment horizontal="center"/>
      <protection/>
    </xf>
    <xf numFmtId="0" fontId="28" fillId="0" borderId="37" xfId="0" applyFont="1" applyBorder="1" applyAlignment="1">
      <alignment vertical="center"/>
    </xf>
    <xf numFmtId="0" fontId="9" fillId="0" borderId="46" xfId="0" applyFont="1" applyBorder="1" applyAlignment="1">
      <alignment horizontal="left" vertical="center" wrapText="1"/>
    </xf>
    <xf numFmtId="0" fontId="9" fillId="0" borderId="46" xfId="0" applyFont="1" applyBorder="1" applyAlignment="1">
      <alignment horizontal="center" vertical="center" wrapText="1"/>
    </xf>
    <xf numFmtId="171" fontId="9" fillId="0" borderId="46" xfId="0" applyNumberFormat="1" applyFont="1" applyBorder="1" applyAlignment="1">
      <alignment horizontal="center" vertical="center"/>
    </xf>
    <xf numFmtId="0" fontId="8" fillId="60" borderId="52" xfId="0" applyFont="1" applyFill="1" applyBorder="1" applyAlignment="1">
      <alignment horizontal="center" vertical="center" wrapText="1"/>
    </xf>
    <xf numFmtId="0" fontId="8" fillId="61" borderId="53" xfId="0" applyFont="1" applyFill="1" applyBorder="1" applyAlignment="1">
      <alignment horizontal="center"/>
    </xf>
    <xf numFmtId="0" fontId="8" fillId="61" borderId="54" xfId="0" applyFont="1" applyFill="1" applyBorder="1" applyAlignment="1">
      <alignment horizontal="center"/>
    </xf>
    <xf numFmtId="49" fontId="9" fillId="0" borderId="53" xfId="0" applyNumberFormat="1" applyFont="1" applyBorder="1" applyAlignment="1">
      <alignment horizontal="center" vertical="center" wrapText="1"/>
    </xf>
    <xf numFmtId="170" fontId="9" fillId="0" borderId="54" xfId="0" applyNumberFormat="1" applyFont="1" applyBorder="1" applyAlignment="1">
      <alignment horizontal="center" vertical="center"/>
    </xf>
    <xf numFmtId="168" fontId="8" fillId="0" borderId="55" xfId="83" applyFont="1" applyBorder="1" applyAlignment="1" applyProtection="1">
      <alignment horizontal="center"/>
      <protection/>
    </xf>
    <xf numFmtId="170" fontId="9" fillId="0" borderId="56" xfId="83" applyNumberFormat="1" applyFont="1" applyBorder="1" applyAlignment="1" applyProtection="1">
      <alignment horizontal="center"/>
      <protection/>
    </xf>
    <xf numFmtId="170" fontId="9" fillId="0" borderId="57" xfId="0" applyNumberFormat="1" applyFont="1" applyBorder="1" applyAlignment="1">
      <alignment horizontal="center" vertical="center"/>
    </xf>
    <xf numFmtId="171" fontId="35" fillId="0" borderId="37" xfId="0" applyNumberFormat="1" applyFont="1" applyFill="1" applyBorder="1" applyAlignment="1">
      <alignment horizontal="center"/>
    </xf>
    <xf numFmtId="0" fontId="8" fillId="0" borderId="0" xfId="0" applyFont="1" applyFill="1" applyBorder="1" applyAlignment="1">
      <alignment horizontal="right"/>
    </xf>
    <xf numFmtId="170" fontId="8" fillId="0" borderId="0" xfId="0" applyNumberFormat="1" applyFont="1" applyFill="1" applyBorder="1" applyAlignment="1">
      <alignment horizontal="center"/>
    </xf>
    <xf numFmtId="0" fontId="8" fillId="0" borderId="46" xfId="0" applyFont="1" applyBorder="1" applyAlignment="1">
      <alignment horizontal="right"/>
    </xf>
    <xf numFmtId="0" fontId="9" fillId="0" borderId="53" xfId="0" applyFont="1" applyBorder="1" applyAlignment="1">
      <alignment horizontal="center"/>
    </xf>
    <xf numFmtId="168" fontId="8" fillId="0" borderId="54" xfId="83" applyFont="1" applyBorder="1" applyAlignment="1" applyProtection="1">
      <alignment horizontal="center"/>
      <protection/>
    </xf>
    <xf numFmtId="0" fontId="8" fillId="57" borderId="58" xfId="0" applyFont="1" applyFill="1" applyBorder="1" applyAlignment="1">
      <alignment horizontal="right"/>
    </xf>
    <xf numFmtId="0" fontId="8" fillId="57" borderId="59" xfId="0" applyFont="1" applyFill="1" applyBorder="1" applyAlignment="1">
      <alignment horizontal="right"/>
    </xf>
    <xf numFmtId="170" fontId="8" fillId="57" borderId="55" xfId="0" applyNumberFormat="1" applyFont="1" applyFill="1" applyBorder="1" applyAlignment="1">
      <alignment horizontal="center"/>
    </xf>
    <xf numFmtId="0" fontId="9" fillId="60" borderId="60" xfId="0" applyFont="1" applyFill="1" applyBorder="1" applyAlignment="1">
      <alignment vertical="center" wrapText="1"/>
    </xf>
    <xf numFmtId="170" fontId="9" fillId="0" borderId="46" xfId="83" applyNumberFormat="1" applyFont="1" applyBorder="1" applyAlignment="1" applyProtection="1">
      <alignment horizontal="center" vertical="center"/>
      <protection/>
    </xf>
    <xf numFmtId="0" fontId="8" fillId="0" borderId="0" xfId="0" applyFont="1" applyFill="1" applyBorder="1" applyAlignment="1">
      <alignment horizontal="center"/>
    </xf>
    <xf numFmtId="0" fontId="9" fillId="62" borderId="33" xfId="0" applyFont="1" applyFill="1" applyBorder="1" applyAlignment="1">
      <alignment horizontal="center"/>
    </xf>
    <xf numFmtId="171" fontId="9" fillId="62" borderId="33" xfId="0" applyNumberFormat="1" applyFont="1" applyFill="1" applyBorder="1" applyAlignment="1">
      <alignment horizontal="center"/>
    </xf>
    <xf numFmtId="0" fontId="9" fillId="62" borderId="32" xfId="0" applyFont="1" applyFill="1" applyBorder="1" applyAlignment="1">
      <alignment horizontal="center"/>
    </xf>
    <xf numFmtId="197" fontId="39" fillId="0" borderId="46" xfId="0" applyNumberFormat="1" applyFont="1" applyBorder="1" applyAlignment="1" applyProtection="1">
      <alignment horizontal="center" vertical="top"/>
      <protection/>
    </xf>
    <xf numFmtId="0" fontId="40" fillId="67" borderId="46" xfId="0" applyFont="1" applyFill="1" applyBorder="1" applyAlignment="1">
      <alignment vertical="center" wrapText="1"/>
    </xf>
    <xf numFmtId="4" fontId="39" fillId="0" borderId="46" xfId="0" applyNumberFormat="1" applyFont="1" applyBorder="1" applyAlignment="1" applyProtection="1">
      <alignment horizontal="center" vertical="center"/>
      <protection/>
    </xf>
    <xf numFmtId="10" fontId="41" fillId="0" borderId="46" xfId="74" applyNumberFormat="1" applyFont="1" applyFill="1" applyBorder="1" applyAlignment="1">
      <alignment horizontal="right"/>
    </xf>
    <xf numFmtId="10" fontId="41" fillId="0" borderId="46" xfId="74" applyNumberFormat="1" applyFont="1" applyFill="1" applyBorder="1" applyAlignment="1">
      <alignment/>
    </xf>
    <xf numFmtId="0" fontId="39" fillId="0" borderId="46" xfId="0" applyFont="1" applyBorder="1" applyAlignment="1" applyProtection="1">
      <alignment horizontal="center" vertical="top"/>
      <protection/>
    </xf>
    <xf numFmtId="0" fontId="39" fillId="0" borderId="46" xfId="0" applyFont="1" applyBorder="1" applyAlignment="1" applyProtection="1">
      <alignment horizontal="justify" vertical="top"/>
      <protection/>
    </xf>
    <xf numFmtId="0" fontId="39" fillId="0" borderId="46" xfId="0" applyFont="1" applyBorder="1" applyAlignment="1" applyProtection="1">
      <alignment horizontal="center" vertical="center"/>
      <protection/>
    </xf>
    <xf numFmtId="2" fontId="39" fillId="0" borderId="46" xfId="0" applyNumberFormat="1" applyFont="1" applyBorder="1" applyAlignment="1" applyProtection="1">
      <alignment horizontal="center" vertical="center"/>
      <protection/>
    </xf>
    <xf numFmtId="0" fontId="39" fillId="0" borderId="46" xfId="0" applyFont="1" applyBorder="1" applyAlignment="1" applyProtection="1">
      <alignment vertical="top"/>
      <protection/>
    </xf>
    <xf numFmtId="2" fontId="28" fillId="0" borderId="37" xfId="0" applyNumberFormat="1" applyFont="1" applyFill="1" applyBorder="1" applyAlignment="1">
      <alignment horizontal="center" vertical="center"/>
    </xf>
    <xf numFmtId="0" fontId="34" fillId="64" borderId="0" xfId="0" applyFont="1" applyFill="1" applyBorder="1" applyAlignment="1">
      <alignment horizontal="center"/>
    </xf>
    <xf numFmtId="0" fontId="34" fillId="64" borderId="0" xfId="0" applyFont="1" applyFill="1" applyBorder="1" applyAlignment="1">
      <alignment horizontal="left"/>
    </xf>
    <xf numFmtId="2" fontId="34" fillId="64" borderId="0" xfId="0" applyNumberFormat="1" applyFont="1" applyFill="1" applyBorder="1" applyAlignment="1">
      <alignment horizontal="center"/>
    </xf>
    <xf numFmtId="168" fontId="34" fillId="64" borderId="61" xfId="0" applyNumberFormat="1" applyFont="1" applyFill="1" applyBorder="1" applyAlignment="1">
      <alignment horizontal="center"/>
    </xf>
    <xf numFmtId="0" fontId="29" fillId="0" borderId="46" xfId="0" applyFont="1" applyBorder="1" applyAlignment="1">
      <alignment horizontal="center" vertical="center" wrapText="1"/>
    </xf>
    <xf numFmtId="0" fontId="29" fillId="0" borderId="46" xfId="0" applyFont="1" applyBorder="1" applyAlignment="1">
      <alignment horizontal="justify" vertical="center" wrapText="1"/>
    </xf>
    <xf numFmtId="167" fontId="29" fillId="0" borderId="46" xfId="0" applyNumberFormat="1" applyFont="1" applyFill="1" applyBorder="1" applyAlignment="1" applyProtection="1">
      <alignment horizontal="center" vertical="center"/>
      <protection/>
    </xf>
    <xf numFmtId="2" fontId="28" fillId="0" borderId="46" xfId="0" applyNumberFormat="1" applyFont="1" applyFill="1" applyBorder="1" applyAlignment="1" applyProtection="1">
      <alignment horizontal="center" vertical="center"/>
      <protection/>
    </xf>
    <xf numFmtId="170" fontId="28" fillId="0" borderId="46" xfId="0" applyNumberFormat="1" applyFont="1" applyFill="1" applyBorder="1" applyAlignment="1" applyProtection="1">
      <alignment horizontal="center" vertical="center"/>
      <protection/>
    </xf>
    <xf numFmtId="168" fontId="29" fillId="0" borderId="46" xfId="0" applyNumberFormat="1" applyFont="1" applyFill="1" applyBorder="1" applyAlignment="1" applyProtection="1">
      <alignment horizontal="center" vertical="center"/>
      <protection/>
    </xf>
    <xf numFmtId="167" fontId="28" fillId="0" borderId="46" xfId="0" applyNumberFormat="1" applyFont="1" applyFill="1" applyBorder="1" applyAlignment="1" applyProtection="1">
      <alignment horizontal="center" vertical="center"/>
      <protection/>
    </xf>
    <xf numFmtId="49" fontId="28" fillId="0" borderId="46" xfId="0" applyNumberFormat="1" applyFont="1" applyBorder="1" applyAlignment="1">
      <alignment horizontal="center" vertical="center" wrapText="1"/>
    </xf>
    <xf numFmtId="0" fontId="28" fillId="0" borderId="46" xfId="0" applyFont="1" applyBorder="1" applyAlignment="1">
      <alignment horizontal="left" vertical="center" wrapText="1"/>
    </xf>
    <xf numFmtId="0" fontId="28" fillId="0" borderId="46" xfId="0" applyFont="1" applyBorder="1" applyAlignment="1">
      <alignment horizontal="center" vertical="center" wrapText="1"/>
    </xf>
    <xf numFmtId="1" fontId="28" fillId="0" borderId="46" xfId="0" applyNumberFormat="1" applyFont="1" applyBorder="1" applyAlignment="1">
      <alignment horizontal="center" vertical="center"/>
    </xf>
    <xf numFmtId="170" fontId="28" fillId="0" borderId="46" xfId="83" applyNumberFormat="1" applyFont="1" applyBorder="1" applyAlignment="1" applyProtection="1">
      <alignment horizontal="center" vertical="center"/>
      <protection/>
    </xf>
    <xf numFmtId="168" fontId="28" fillId="0" borderId="46" xfId="0" applyNumberFormat="1" applyFont="1" applyFill="1" applyBorder="1" applyAlignment="1" applyProtection="1">
      <alignment horizontal="center" vertical="center"/>
      <protection/>
    </xf>
    <xf numFmtId="0" fontId="28" fillId="63" borderId="46" xfId="0" applyFont="1" applyFill="1" applyBorder="1" applyAlignment="1">
      <alignment horizontal="center"/>
    </xf>
    <xf numFmtId="0" fontId="28" fillId="63" borderId="46" xfId="0" applyFont="1" applyFill="1" applyBorder="1" applyAlignment="1">
      <alignment horizontal="left"/>
    </xf>
    <xf numFmtId="2" fontId="28" fillId="63" borderId="46" xfId="0" applyNumberFormat="1" applyFont="1" applyFill="1" applyBorder="1" applyAlignment="1">
      <alignment horizontal="center"/>
    </xf>
    <xf numFmtId="168" fontId="29" fillId="0" borderId="46" xfId="83" applyFont="1" applyBorder="1" applyAlignment="1">
      <alignment horizontal="center"/>
      <protection/>
    </xf>
    <xf numFmtId="0" fontId="28" fillId="0" borderId="46" xfId="0" applyFont="1" applyFill="1" applyBorder="1" applyAlignment="1">
      <alignment horizontal="center" vertical="center" wrapText="1"/>
    </xf>
    <xf numFmtId="168" fontId="28" fillId="0" borderId="46" xfId="83" applyFont="1" applyFill="1" applyBorder="1" applyAlignment="1" applyProtection="1">
      <alignment horizontal="center" vertical="center"/>
      <protection/>
    </xf>
    <xf numFmtId="0" fontId="28" fillId="0" borderId="46" xfId="0" applyFont="1" applyBorder="1" applyAlignment="1">
      <alignment horizontal="justify" vertical="center" wrapText="1"/>
    </xf>
    <xf numFmtId="0" fontId="34" fillId="64" borderId="62" xfId="0" applyFont="1" applyFill="1" applyBorder="1" applyAlignment="1">
      <alignment horizontal="left"/>
    </xf>
    <xf numFmtId="0" fontId="29" fillId="0" borderId="46" xfId="0" applyFont="1" applyBorder="1" applyAlignment="1">
      <alignment vertical="center"/>
    </xf>
    <xf numFmtId="0" fontId="29" fillId="0" borderId="46" xfId="0" applyFont="1" applyFill="1" applyBorder="1" applyAlignment="1">
      <alignment horizontal="center" vertical="center" wrapText="1"/>
    </xf>
    <xf numFmtId="0" fontId="109" fillId="0" borderId="46" xfId="0" applyFont="1" applyFill="1" applyBorder="1" applyAlignment="1">
      <alignment horizontal="left" vertical="center" wrapText="1"/>
    </xf>
    <xf numFmtId="168" fontId="0" fillId="0" borderId="46" xfId="83" applyBorder="1" applyAlignment="1">
      <alignment horizontal="center"/>
      <protection/>
    </xf>
    <xf numFmtId="0" fontId="111" fillId="68" borderId="46" xfId="0" applyFont="1" applyFill="1" applyBorder="1" applyAlignment="1">
      <alignment vertical="center" wrapText="1"/>
    </xf>
    <xf numFmtId="0" fontId="42" fillId="0" borderId="0" xfId="0" applyFont="1" applyFill="1" applyBorder="1" applyAlignment="1" applyProtection="1">
      <alignment vertical="center"/>
      <protection locked="0"/>
    </xf>
    <xf numFmtId="0" fontId="43" fillId="0" borderId="0" xfId="0" applyFont="1" applyBorder="1" applyAlignment="1" applyProtection="1">
      <alignment vertical="center"/>
      <protection locked="0"/>
    </xf>
    <xf numFmtId="10" fontId="0" fillId="0" borderId="0" xfId="0" applyNumberFormat="1" applyAlignment="1">
      <alignment/>
    </xf>
    <xf numFmtId="0" fontId="0" fillId="0" borderId="0" xfId="0" applyFill="1" applyAlignment="1">
      <alignment/>
    </xf>
    <xf numFmtId="0" fontId="0" fillId="0" borderId="0" xfId="0" applyFill="1" applyBorder="1" applyAlignment="1">
      <alignment/>
    </xf>
    <xf numFmtId="0" fontId="0" fillId="0" borderId="0" xfId="0" applyFill="1" applyBorder="1" applyAlignment="1">
      <alignment/>
    </xf>
    <xf numFmtId="0" fontId="0" fillId="63" borderId="0" xfId="0" applyFill="1" applyAlignment="1">
      <alignment/>
    </xf>
    <xf numFmtId="0" fontId="109" fillId="0" borderId="46" xfId="0" applyFont="1" applyFill="1" applyBorder="1" applyAlignment="1">
      <alignment horizontal="center" vertical="center" wrapText="1"/>
    </xf>
    <xf numFmtId="0" fontId="109" fillId="0" borderId="46" xfId="0" applyFont="1" applyFill="1" applyBorder="1" applyAlignment="1">
      <alignment vertical="center" wrapText="1"/>
    </xf>
    <xf numFmtId="0" fontId="44" fillId="0" borderId="46" xfId="0" applyFont="1" applyFill="1" applyBorder="1" applyAlignment="1">
      <alignment horizontal="center" vertical="center"/>
    </xf>
    <xf numFmtId="0" fontId="8" fillId="60" borderId="63" xfId="0" applyFont="1" applyFill="1" applyBorder="1" applyAlignment="1">
      <alignment horizontal="center" vertical="center" wrapText="1"/>
    </xf>
    <xf numFmtId="171" fontId="9" fillId="0" borderId="21" xfId="0" applyNumberFormat="1" applyFont="1" applyFill="1" applyBorder="1" applyAlignment="1" applyProtection="1">
      <alignment horizontal="center" vertical="center"/>
      <protection/>
    </xf>
    <xf numFmtId="0" fontId="28" fillId="63" borderId="46" xfId="0" applyFont="1" applyFill="1" applyBorder="1" applyAlignment="1">
      <alignment horizontal="left" wrapText="1"/>
    </xf>
    <xf numFmtId="0" fontId="111" fillId="68" borderId="46" xfId="0" applyFont="1" applyFill="1" applyBorder="1" applyAlignment="1">
      <alignment horizontal="center" vertical="center" wrapText="1"/>
    </xf>
    <xf numFmtId="0" fontId="28" fillId="0" borderId="46" xfId="0" applyFont="1" applyBorder="1" applyAlignment="1">
      <alignment/>
    </xf>
    <xf numFmtId="2" fontId="0" fillId="0" borderId="0" xfId="0" applyNumberFormat="1" applyAlignment="1">
      <alignment horizontal="left" indent="2"/>
    </xf>
    <xf numFmtId="172" fontId="9" fillId="62" borderId="33" xfId="0" applyNumberFormat="1" applyFont="1" applyFill="1" applyBorder="1" applyAlignment="1">
      <alignment horizontal="center"/>
    </xf>
    <xf numFmtId="172" fontId="9" fillId="0" borderId="20" xfId="0" applyNumberFormat="1" applyFont="1" applyBorder="1" applyAlignment="1">
      <alignment horizontal="center" vertical="center"/>
    </xf>
    <xf numFmtId="0" fontId="8" fillId="60" borderId="64" xfId="0" applyFont="1" applyFill="1" applyBorder="1" applyAlignment="1">
      <alignment horizontal="center" vertical="center" wrapText="1"/>
    </xf>
    <xf numFmtId="0" fontId="8" fillId="61" borderId="65" xfId="0" applyFont="1" applyFill="1" applyBorder="1" applyAlignment="1">
      <alignment horizontal="center"/>
    </xf>
    <xf numFmtId="0" fontId="8" fillId="61" borderId="66" xfId="0" applyFont="1" applyFill="1" applyBorder="1" applyAlignment="1">
      <alignment horizontal="center"/>
    </xf>
    <xf numFmtId="49" fontId="9" fillId="0" borderId="67" xfId="0" applyNumberFormat="1" applyFont="1" applyBorder="1" applyAlignment="1">
      <alignment horizontal="center" vertical="center" wrapText="1"/>
    </xf>
    <xf numFmtId="170" fontId="9" fillId="0" borderId="68" xfId="0" applyNumberFormat="1" applyFont="1" applyBorder="1" applyAlignment="1">
      <alignment horizontal="center" vertical="center"/>
    </xf>
    <xf numFmtId="0" fontId="9" fillId="0" borderId="67" xfId="0" applyFont="1" applyBorder="1" applyAlignment="1">
      <alignment horizontal="center"/>
    </xf>
    <xf numFmtId="168" fontId="8" fillId="0" borderId="68" xfId="83" applyFont="1" applyBorder="1" applyAlignment="1" applyProtection="1">
      <alignment horizontal="center"/>
      <protection/>
    </xf>
    <xf numFmtId="0" fontId="8" fillId="61" borderId="69" xfId="0" applyFont="1" applyFill="1" applyBorder="1" applyAlignment="1">
      <alignment horizontal="center"/>
    </xf>
    <xf numFmtId="0" fontId="8" fillId="61" borderId="70" xfId="0" applyFont="1" applyFill="1" applyBorder="1" applyAlignment="1">
      <alignment horizontal="center"/>
    </xf>
    <xf numFmtId="0" fontId="110" fillId="68" borderId="53" xfId="0" applyFont="1" applyFill="1" applyBorder="1" applyAlignment="1">
      <alignment vertical="center" wrapText="1"/>
    </xf>
    <xf numFmtId="0" fontId="8" fillId="57" borderId="71" xfId="0" applyFont="1" applyFill="1" applyBorder="1" applyAlignment="1">
      <alignment horizontal="right"/>
    </xf>
    <xf numFmtId="0" fontId="8" fillId="57" borderId="72" xfId="0" applyFont="1" applyFill="1" applyBorder="1" applyAlignment="1">
      <alignment horizontal="right"/>
    </xf>
    <xf numFmtId="170" fontId="8" fillId="57" borderId="73" xfId="0" applyNumberFormat="1" applyFont="1" applyFill="1" applyBorder="1" applyAlignment="1">
      <alignment horizontal="center"/>
    </xf>
    <xf numFmtId="0" fontId="8" fillId="60" borderId="74" xfId="0" applyFont="1" applyFill="1" applyBorder="1" applyAlignment="1">
      <alignment horizontal="center" vertical="center" wrapText="1"/>
    </xf>
    <xf numFmtId="0" fontId="9" fillId="61" borderId="65" xfId="0" applyFont="1" applyFill="1" applyBorder="1" applyAlignment="1">
      <alignment horizontal="center"/>
    </xf>
    <xf numFmtId="0" fontId="9" fillId="62" borderId="69" xfId="0" applyFont="1" applyFill="1" applyBorder="1" applyAlignment="1">
      <alignment horizontal="center"/>
    </xf>
    <xf numFmtId="168" fontId="9" fillId="0" borderId="0" xfId="83" applyFont="1" applyBorder="1" applyAlignment="1">
      <alignment horizontal="center"/>
      <protection/>
    </xf>
    <xf numFmtId="168" fontId="9" fillId="0" borderId="75" xfId="83" applyFont="1" applyBorder="1" applyAlignment="1">
      <alignment horizontal="center"/>
      <protection/>
    </xf>
    <xf numFmtId="0" fontId="9" fillId="0" borderId="67" xfId="0" applyFont="1" applyBorder="1" applyAlignment="1">
      <alignment horizontal="center" vertical="center" wrapText="1"/>
    </xf>
    <xf numFmtId="0" fontId="28" fillId="0" borderId="46" xfId="0" applyFont="1" applyBorder="1" applyAlignment="1">
      <alignment wrapText="1"/>
    </xf>
    <xf numFmtId="170" fontId="29" fillId="0" borderId="46" xfId="0" applyNumberFormat="1" applyFont="1" applyFill="1" applyBorder="1" applyAlignment="1" applyProtection="1">
      <alignment horizontal="center" vertical="center"/>
      <protection/>
    </xf>
    <xf numFmtId="0" fontId="46" fillId="0" borderId="0" xfId="0" applyFont="1" applyAlignment="1">
      <alignment/>
    </xf>
    <xf numFmtId="2" fontId="46" fillId="0" borderId="0" xfId="0" applyNumberFormat="1" applyFont="1" applyAlignment="1">
      <alignment/>
    </xf>
    <xf numFmtId="168" fontId="46" fillId="0" borderId="0" xfId="0" applyNumberFormat="1" applyFont="1" applyAlignment="1">
      <alignment/>
    </xf>
    <xf numFmtId="0" fontId="9" fillId="0" borderId="0" xfId="0" applyFont="1" applyAlignment="1">
      <alignment/>
    </xf>
    <xf numFmtId="9" fontId="0" fillId="0" borderId="0" xfId="0" applyNumberFormat="1" applyAlignment="1">
      <alignment/>
    </xf>
    <xf numFmtId="170" fontId="28" fillId="66" borderId="37" xfId="0" applyNumberFormat="1" applyFont="1" applyFill="1" applyBorder="1" applyAlignment="1" applyProtection="1">
      <alignment horizontal="center" vertical="center"/>
      <protection/>
    </xf>
    <xf numFmtId="188" fontId="1" fillId="66" borderId="38" xfId="0" applyNumberFormat="1" applyFont="1" applyFill="1" applyBorder="1" applyAlignment="1">
      <alignment horizontal="left" vertical="center" wrapText="1"/>
    </xf>
    <xf numFmtId="1" fontId="9" fillId="62" borderId="33" xfId="0" applyNumberFormat="1" applyFont="1" applyFill="1" applyBorder="1" applyAlignment="1">
      <alignment horizontal="center"/>
    </xf>
    <xf numFmtId="0" fontId="9" fillId="0" borderId="76" xfId="0" applyFont="1" applyBorder="1" applyAlignment="1">
      <alignment horizontal="center"/>
    </xf>
    <xf numFmtId="0" fontId="8" fillId="0" borderId="77" xfId="0" applyFont="1" applyBorder="1" applyAlignment="1">
      <alignment horizontal="right"/>
    </xf>
    <xf numFmtId="168" fontId="8" fillId="0" borderId="78" xfId="83" applyFont="1" applyBorder="1" applyAlignment="1" applyProtection="1">
      <alignment horizontal="center"/>
      <protection/>
    </xf>
    <xf numFmtId="0" fontId="7" fillId="0" borderId="0" xfId="0" applyFont="1" applyAlignment="1">
      <alignment/>
    </xf>
    <xf numFmtId="0" fontId="111" fillId="0" borderId="0" xfId="0" applyFont="1" applyAlignment="1">
      <alignment vertical="center"/>
    </xf>
    <xf numFmtId="0" fontId="45" fillId="0" borderId="0" xfId="0" applyFont="1" applyAlignment="1">
      <alignment horizontal="center" vertical="center"/>
    </xf>
    <xf numFmtId="0" fontId="45" fillId="0" borderId="0" xfId="0" applyFont="1" applyAlignment="1">
      <alignment/>
    </xf>
    <xf numFmtId="0" fontId="94" fillId="0" borderId="46" xfId="0" applyFont="1" applyFill="1" applyBorder="1" applyAlignment="1">
      <alignment horizontal="center" vertical="center" wrapText="1"/>
    </xf>
    <xf numFmtId="0" fontId="109" fillId="0" borderId="46" xfId="0" applyFont="1" applyBorder="1" applyAlignment="1">
      <alignment vertical="center" wrapText="1"/>
    </xf>
    <xf numFmtId="0" fontId="8" fillId="60" borderId="79" xfId="0" applyFont="1" applyFill="1" applyBorder="1" applyAlignment="1">
      <alignment horizontal="center" vertical="center" wrapText="1"/>
    </xf>
    <xf numFmtId="0" fontId="9" fillId="61" borderId="46" xfId="0" applyFont="1" applyFill="1" applyBorder="1" applyAlignment="1">
      <alignment horizontal="center"/>
    </xf>
    <xf numFmtId="49" fontId="9" fillId="0" borderId="46" xfId="0" applyNumberFormat="1" applyFont="1" applyBorder="1" applyAlignment="1">
      <alignment horizontal="center" vertical="center" wrapText="1"/>
    </xf>
    <xf numFmtId="168" fontId="9" fillId="0" borderId="46" xfId="83" applyFont="1" applyBorder="1" applyAlignment="1">
      <alignment horizontal="center"/>
      <protection/>
    </xf>
    <xf numFmtId="0" fontId="9" fillId="0" borderId="46" xfId="0" applyFont="1" applyBorder="1" applyAlignment="1">
      <alignment horizontal="center"/>
    </xf>
    <xf numFmtId="168" fontId="8" fillId="0" borderId="46" xfId="83" applyFont="1" applyBorder="1" applyAlignment="1" applyProtection="1">
      <alignment horizontal="center"/>
      <protection/>
    </xf>
    <xf numFmtId="0" fontId="110" fillId="0" borderId="46" xfId="0" applyFont="1" applyBorder="1" applyAlignment="1">
      <alignment wrapText="1"/>
    </xf>
    <xf numFmtId="170" fontId="8" fillId="57" borderId="46" xfId="0" applyNumberFormat="1" applyFont="1" applyFill="1" applyBorder="1" applyAlignment="1">
      <alignment horizontal="center"/>
    </xf>
    <xf numFmtId="0" fontId="112" fillId="0" borderId="46" xfId="0" applyFont="1" applyFill="1" applyBorder="1" applyAlignment="1">
      <alignment vertical="center" wrapText="1"/>
    </xf>
    <xf numFmtId="0" fontId="112" fillId="0" borderId="46" xfId="0" applyFont="1" applyFill="1" applyBorder="1" applyAlignment="1">
      <alignment horizontal="center" vertical="center" wrapText="1"/>
    </xf>
    <xf numFmtId="0" fontId="112" fillId="0" borderId="46" xfId="0" applyFont="1" applyFill="1" applyBorder="1" applyAlignment="1">
      <alignment horizontal="center" vertical="center"/>
    </xf>
    <xf numFmtId="0" fontId="113" fillId="0" borderId="80" xfId="0" applyFont="1" applyBorder="1" applyAlignment="1">
      <alignment horizontal="justify"/>
    </xf>
    <xf numFmtId="190" fontId="113" fillId="0" borderId="80" xfId="0" applyNumberFormat="1" applyFont="1" applyFill="1" applyBorder="1" applyAlignment="1">
      <alignment horizontal="justify"/>
    </xf>
    <xf numFmtId="0" fontId="28" fillId="0" borderId="20" xfId="0" applyFont="1" applyFill="1" applyBorder="1" applyAlignment="1">
      <alignment/>
    </xf>
    <xf numFmtId="0" fontId="47" fillId="0" borderId="46" xfId="0" applyFont="1" applyBorder="1" applyAlignment="1">
      <alignment wrapText="1"/>
    </xf>
    <xf numFmtId="0" fontId="47" fillId="68" borderId="46" xfId="0" applyFont="1" applyFill="1" applyBorder="1" applyAlignment="1">
      <alignment vertical="center" wrapText="1"/>
    </xf>
    <xf numFmtId="0" fontId="9" fillId="61" borderId="81" xfId="0" applyFont="1" applyFill="1" applyBorder="1" applyAlignment="1">
      <alignment horizontal="center"/>
    </xf>
    <xf numFmtId="0" fontId="8" fillId="61" borderId="82" xfId="0" applyFont="1" applyFill="1" applyBorder="1" applyAlignment="1">
      <alignment horizontal="center"/>
    </xf>
    <xf numFmtId="171" fontId="8" fillId="61" borderId="82" xfId="0" applyNumberFormat="1" applyFont="1" applyFill="1" applyBorder="1" applyAlignment="1">
      <alignment horizontal="center"/>
    </xf>
    <xf numFmtId="0" fontId="8" fillId="61" borderId="83" xfId="0" applyFont="1" applyFill="1" applyBorder="1" applyAlignment="1">
      <alignment horizontal="center"/>
    </xf>
    <xf numFmtId="0" fontId="8" fillId="57" borderId="84" xfId="0" applyFont="1" applyFill="1" applyBorder="1" applyAlignment="1">
      <alignment horizontal="right"/>
    </xf>
    <xf numFmtId="170" fontId="8" fillId="57" borderId="85" xfId="0" applyNumberFormat="1" applyFont="1" applyFill="1" applyBorder="1" applyAlignment="1">
      <alignment horizontal="center"/>
    </xf>
    <xf numFmtId="0" fontId="113" fillId="0" borderId="46" xfId="0" applyFont="1" applyBorder="1" applyAlignment="1">
      <alignment horizontal="justify"/>
    </xf>
    <xf numFmtId="0" fontId="9" fillId="62" borderId="46" xfId="0" applyFont="1" applyFill="1" applyBorder="1" applyAlignment="1">
      <alignment horizontal="left"/>
    </xf>
    <xf numFmtId="0" fontId="9" fillId="62" borderId="46" xfId="0" applyFont="1" applyFill="1" applyBorder="1" applyAlignment="1">
      <alignment horizontal="center"/>
    </xf>
    <xf numFmtId="172" fontId="9" fillId="62" borderId="46" xfId="0" applyNumberFormat="1" applyFont="1" applyFill="1" applyBorder="1" applyAlignment="1">
      <alignment horizontal="center"/>
    </xf>
    <xf numFmtId="190" fontId="113" fillId="0" borderId="46" xfId="0" applyNumberFormat="1" applyFont="1" applyFill="1" applyBorder="1" applyAlignment="1">
      <alignment horizontal="justify"/>
    </xf>
    <xf numFmtId="0" fontId="28" fillId="0" borderId="46" xfId="0" applyFont="1" applyFill="1" applyBorder="1" applyAlignment="1">
      <alignment/>
    </xf>
    <xf numFmtId="172" fontId="9" fillId="0" borderId="46" xfId="0" applyNumberFormat="1" applyFont="1" applyBorder="1" applyAlignment="1">
      <alignment horizontal="center" vertical="center"/>
    </xf>
    <xf numFmtId="0" fontId="109" fillId="0" borderId="46" xfId="0" applyFont="1" applyFill="1" applyBorder="1" applyAlignment="1">
      <alignment vertical="center"/>
    </xf>
    <xf numFmtId="0" fontId="44" fillId="0" borderId="46" xfId="0" applyFont="1" applyFill="1" applyBorder="1" applyAlignment="1">
      <alignment vertical="center" wrapText="1"/>
    </xf>
    <xf numFmtId="201" fontId="44" fillId="0" borderId="46" xfId="0" applyNumberFormat="1" applyFont="1" applyFill="1" applyBorder="1" applyAlignment="1">
      <alignment horizontal="center" vertical="center"/>
    </xf>
    <xf numFmtId="0" fontId="44" fillId="0" borderId="86" xfId="0" applyFont="1" applyFill="1" applyBorder="1" applyAlignment="1">
      <alignment horizontal="center" vertical="center"/>
    </xf>
    <xf numFmtId="0" fontId="114" fillId="0" borderId="46" xfId="0" applyFont="1" applyBorder="1" applyAlignment="1">
      <alignment horizontal="justify"/>
    </xf>
    <xf numFmtId="0" fontId="28" fillId="0" borderId="46" xfId="0" applyFont="1" applyFill="1" applyBorder="1" applyAlignment="1">
      <alignment wrapText="1"/>
    </xf>
    <xf numFmtId="167" fontId="1" fillId="0" borderId="0" xfId="205">
      <alignment/>
      <protection/>
    </xf>
    <xf numFmtId="167" fontId="0" fillId="0" borderId="0" xfId="0" applyNumberFormat="1" applyAlignment="1">
      <alignment/>
    </xf>
    <xf numFmtId="0" fontId="112" fillId="0" borderId="46" xfId="0" applyFont="1" applyFill="1" applyBorder="1" applyAlignment="1">
      <alignment horizontal="right" vertical="center" wrapText="1"/>
    </xf>
    <xf numFmtId="0" fontId="109" fillId="0" borderId="46" xfId="0" applyFont="1" applyBorder="1" applyAlignment="1">
      <alignment horizontal="center" vertical="center"/>
    </xf>
    <xf numFmtId="0" fontId="109" fillId="0" borderId="46" xfId="0" applyFont="1" applyFill="1" applyBorder="1" applyAlignment="1">
      <alignment horizontal="right" vertical="center" wrapText="1"/>
    </xf>
    <xf numFmtId="0" fontId="112" fillId="0" borderId="46" xfId="0" applyNumberFormat="1" applyFont="1" applyFill="1" applyBorder="1" applyAlignment="1">
      <alignment horizontal="center" vertical="center"/>
    </xf>
    <xf numFmtId="0" fontId="28" fillId="0" borderId="0" xfId="0" applyFont="1" applyBorder="1" applyAlignment="1">
      <alignment horizontal="center"/>
    </xf>
    <xf numFmtId="0" fontId="94" fillId="0" borderId="46" xfId="0" applyFont="1" applyFill="1" applyBorder="1" applyAlignment="1">
      <alignment wrapText="1"/>
    </xf>
    <xf numFmtId="0" fontId="0" fillId="0" borderId="46" xfId="0" applyFill="1" applyBorder="1" applyAlignment="1">
      <alignment/>
    </xf>
    <xf numFmtId="49" fontId="48" fillId="0" borderId="37" xfId="0" applyNumberFormat="1" applyFont="1" applyFill="1" applyBorder="1" applyAlignment="1">
      <alignment horizontal="center" vertical="center" wrapText="1"/>
    </xf>
    <xf numFmtId="0" fontId="48" fillId="0" borderId="37" xfId="0" applyFont="1" applyFill="1" applyBorder="1" applyAlignment="1">
      <alignment horizontal="left" vertical="center" wrapText="1"/>
    </xf>
    <xf numFmtId="0" fontId="48" fillId="0" borderId="37" xfId="0" applyFont="1" applyFill="1" applyBorder="1" applyAlignment="1">
      <alignment horizontal="center" vertical="center" wrapText="1"/>
    </xf>
    <xf numFmtId="2" fontId="48" fillId="0" borderId="37" xfId="0" applyNumberFormat="1" applyFont="1" applyFill="1" applyBorder="1" applyAlignment="1">
      <alignment horizontal="center" vertical="center"/>
    </xf>
    <xf numFmtId="170" fontId="48" fillId="0" borderId="37" xfId="83" applyNumberFormat="1" applyFont="1" applyFill="1" applyBorder="1" applyAlignment="1" applyProtection="1">
      <alignment horizontal="center" vertical="center"/>
      <protection/>
    </xf>
    <xf numFmtId="168" fontId="49" fillId="0" borderId="37" xfId="0" applyNumberFormat="1" applyFont="1" applyFill="1" applyBorder="1" applyAlignment="1" applyProtection="1">
      <alignment horizontal="center" vertical="center"/>
      <protection/>
    </xf>
    <xf numFmtId="0" fontId="0" fillId="0" borderId="46" xfId="0" applyFill="1" applyBorder="1" applyAlignment="1">
      <alignment horizontal="right" wrapText="1"/>
    </xf>
    <xf numFmtId="167" fontId="0" fillId="0" borderId="46" xfId="0" applyNumberFormat="1" applyFill="1" applyBorder="1" applyAlignment="1">
      <alignment/>
    </xf>
    <xf numFmtId="167" fontId="1" fillId="0" borderId="46" xfId="205" applyFill="1" applyBorder="1">
      <alignment/>
      <protection/>
    </xf>
    <xf numFmtId="0" fontId="107" fillId="69" borderId="46" xfId="0" applyFont="1" applyFill="1" applyBorder="1" applyAlignment="1">
      <alignment wrapText="1"/>
    </xf>
    <xf numFmtId="0" fontId="107" fillId="69" borderId="46" xfId="0" applyFont="1" applyFill="1" applyBorder="1" applyAlignment="1">
      <alignment horizontal="center" vertical="center" wrapText="1"/>
    </xf>
    <xf numFmtId="0" fontId="7" fillId="69" borderId="46" xfId="0" applyFont="1" applyFill="1" applyBorder="1" applyAlignment="1">
      <alignment/>
    </xf>
    <xf numFmtId="0" fontId="108" fillId="69" borderId="46" xfId="0" applyFont="1" applyFill="1" applyBorder="1" applyAlignment="1">
      <alignment horizontal="center" vertical="center"/>
    </xf>
    <xf numFmtId="167" fontId="7" fillId="69" borderId="46" xfId="0" applyNumberFormat="1" applyFont="1" applyFill="1" applyBorder="1" applyAlignment="1">
      <alignment/>
    </xf>
    <xf numFmtId="0" fontId="33" fillId="0" borderId="46" xfId="0" applyFont="1" applyBorder="1" applyAlignment="1">
      <alignment vertical="center" wrapText="1"/>
    </xf>
    <xf numFmtId="0" fontId="0" fillId="0" borderId="46" xfId="0" applyBorder="1" applyAlignment="1">
      <alignment/>
    </xf>
    <xf numFmtId="0" fontId="115" fillId="69" borderId="46" xfId="0" applyFont="1" applyFill="1" applyBorder="1" applyAlignment="1">
      <alignment vertical="center" wrapText="1"/>
    </xf>
    <xf numFmtId="202" fontId="7" fillId="69" borderId="46" xfId="0" applyNumberFormat="1" applyFont="1" applyFill="1" applyBorder="1" applyAlignment="1">
      <alignment/>
    </xf>
    <xf numFmtId="0" fontId="50" fillId="69" borderId="46" xfId="0" applyFont="1" applyFill="1" applyBorder="1" applyAlignment="1">
      <alignment vertical="center" wrapText="1"/>
    </xf>
    <xf numFmtId="0" fontId="51" fillId="69" borderId="46" xfId="0" applyFont="1" applyFill="1" applyBorder="1" applyAlignment="1">
      <alignment/>
    </xf>
    <xf numFmtId="0" fontId="40" fillId="69" borderId="46" xfId="0" applyFont="1" applyFill="1" applyBorder="1" applyAlignment="1">
      <alignment horizontal="center" vertical="center"/>
    </xf>
    <xf numFmtId="167" fontId="51" fillId="69" borderId="46" xfId="0" applyNumberFormat="1" applyFont="1" applyFill="1" applyBorder="1" applyAlignment="1">
      <alignment/>
    </xf>
    <xf numFmtId="0" fontId="48" fillId="69" borderId="46" xfId="0" applyFont="1" applyFill="1" applyBorder="1" applyAlignment="1">
      <alignment vertical="center" wrapText="1"/>
    </xf>
    <xf numFmtId="167" fontId="49" fillId="69" borderId="46" xfId="0" applyNumberFormat="1" applyFont="1" applyFill="1" applyBorder="1" applyAlignment="1" applyProtection="1">
      <alignment horizontal="center" vertical="center"/>
      <protection/>
    </xf>
    <xf numFmtId="0" fontId="115" fillId="69" borderId="46" xfId="0" applyFont="1" applyFill="1" applyBorder="1" applyAlignment="1">
      <alignment horizontal="center" vertical="center"/>
    </xf>
    <xf numFmtId="0" fontId="50" fillId="69" borderId="46" xfId="0" applyFont="1" applyFill="1" applyBorder="1" applyAlignment="1">
      <alignment horizontal="center" vertical="center"/>
    </xf>
    <xf numFmtId="0" fontId="107" fillId="69" borderId="46" xfId="0" applyFont="1" applyFill="1" applyBorder="1" applyAlignment="1">
      <alignment vertical="center" wrapText="1"/>
    </xf>
    <xf numFmtId="0" fontId="108" fillId="69" borderId="46" xfId="0" applyFont="1" applyFill="1" applyBorder="1" applyAlignment="1">
      <alignment vertical="center" wrapText="1"/>
    </xf>
    <xf numFmtId="0" fontId="48" fillId="69" borderId="37" xfId="0" applyFont="1" applyFill="1" applyBorder="1" applyAlignment="1">
      <alignment vertical="center" wrapText="1"/>
    </xf>
    <xf numFmtId="167" fontId="33" fillId="69" borderId="46" xfId="205" applyFont="1" applyFill="1" applyBorder="1">
      <alignment/>
      <protection/>
    </xf>
    <xf numFmtId="0" fontId="52" fillId="0" borderId="0" xfId="78" applyFont="1" applyAlignment="1">
      <alignment/>
    </xf>
    <xf numFmtId="0" fontId="45" fillId="0" borderId="0" xfId="0" applyFont="1" applyAlignment="1">
      <alignment horizontal="center"/>
    </xf>
    <xf numFmtId="170" fontId="13" fillId="0" borderId="0" xfId="0" applyNumberFormat="1" applyFont="1" applyFill="1" applyBorder="1" applyAlignment="1">
      <alignment horizontal="center"/>
    </xf>
    <xf numFmtId="0" fontId="0" fillId="0" borderId="0" xfId="0" applyFill="1" applyAlignment="1">
      <alignment horizontal="center"/>
    </xf>
    <xf numFmtId="0" fontId="9" fillId="0" borderId="67" xfId="0" applyFont="1" applyFill="1" applyBorder="1" applyAlignment="1">
      <alignment horizontal="center" vertical="center" wrapText="1"/>
    </xf>
    <xf numFmtId="0" fontId="110" fillId="0" borderId="0" xfId="0" applyFont="1" applyAlignment="1">
      <alignment/>
    </xf>
    <xf numFmtId="0" fontId="111" fillId="0" borderId="0" xfId="0" applyFont="1" applyAlignment="1">
      <alignment/>
    </xf>
    <xf numFmtId="0" fontId="44" fillId="0" borderId="46" xfId="0" applyFont="1" applyFill="1" applyBorder="1" applyAlignment="1">
      <alignment horizontal="center" vertical="center" wrapText="1"/>
    </xf>
    <xf numFmtId="0" fontId="8" fillId="60" borderId="87" xfId="0" applyFont="1" applyFill="1" applyBorder="1" applyAlignment="1">
      <alignment horizontal="center" vertical="center" wrapText="1"/>
    </xf>
    <xf numFmtId="0" fontId="9" fillId="61" borderId="88" xfId="0" applyFont="1" applyFill="1" applyBorder="1" applyAlignment="1">
      <alignment horizontal="center"/>
    </xf>
    <xf numFmtId="0" fontId="8" fillId="61" borderId="89" xfId="0" applyFont="1" applyFill="1" applyBorder="1" applyAlignment="1">
      <alignment horizontal="center"/>
    </xf>
    <xf numFmtId="171" fontId="8" fillId="61" borderId="89" xfId="0" applyNumberFormat="1" applyFont="1" applyFill="1" applyBorder="1" applyAlignment="1">
      <alignment horizontal="center"/>
    </xf>
    <xf numFmtId="0" fontId="8" fillId="61" borderId="90" xfId="0" applyFont="1" applyFill="1" applyBorder="1" applyAlignment="1">
      <alignment horizontal="center"/>
    </xf>
    <xf numFmtId="49" fontId="9" fillId="0" borderId="46" xfId="0" applyNumberFormat="1" applyFont="1" applyFill="1" applyBorder="1" applyAlignment="1">
      <alignment horizontal="center" vertical="center" wrapText="1"/>
    </xf>
    <xf numFmtId="0" fontId="9" fillId="0" borderId="46" xfId="0" applyFont="1" applyFill="1" applyBorder="1" applyAlignment="1">
      <alignment horizontal="left" vertical="center" wrapText="1"/>
    </xf>
    <xf numFmtId="0" fontId="9" fillId="0" borderId="46" xfId="0" applyFont="1" applyFill="1" applyBorder="1" applyAlignment="1">
      <alignment horizontal="center" vertical="center" wrapText="1"/>
    </xf>
    <xf numFmtId="171" fontId="9" fillId="0" borderId="46" xfId="0" applyNumberFormat="1" applyFont="1" applyFill="1" applyBorder="1" applyAlignment="1">
      <alignment horizontal="center" vertical="center"/>
    </xf>
    <xf numFmtId="170" fontId="9" fillId="0" borderId="46" xfId="83" applyNumberFormat="1" applyFont="1" applyFill="1" applyBorder="1" applyAlignment="1" applyProtection="1">
      <alignment horizontal="center"/>
      <protection/>
    </xf>
    <xf numFmtId="168" fontId="9" fillId="0" borderId="46" xfId="83" applyFont="1" applyFill="1" applyBorder="1" applyAlignment="1">
      <alignment horizontal="center"/>
      <protection/>
    </xf>
    <xf numFmtId="0" fontId="0" fillId="0" borderId="0" xfId="0" applyAlignment="1">
      <alignment horizontal="center" wrapText="1"/>
    </xf>
    <xf numFmtId="0" fontId="87" fillId="0" borderId="0" xfId="0" applyFont="1" applyAlignment="1">
      <alignment horizontal="center" vertical="center" wrapText="1"/>
    </xf>
    <xf numFmtId="0" fontId="87" fillId="0" borderId="0" xfId="0" applyFont="1" applyAlignment="1">
      <alignment vertical="center" wrapText="1"/>
    </xf>
    <xf numFmtId="0" fontId="87" fillId="0" borderId="0" xfId="0" applyFont="1" applyAlignment="1">
      <alignment vertical="center"/>
    </xf>
    <xf numFmtId="0" fontId="116" fillId="0" borderId="0" xfId="0" applyFont="1" applyAlignment="1">
      <alignment horizontal="left" vertical="center" indent="2"/>
    </xf>
    <xf numFmtId="0" fontId="117" fillId="0" borderId="91" xfId="0" applyFont="1" applyBorder="1" applyAlignment="1">
      <alignment vertical="center"/>
    </xf>
    <xf numFmtId="0" fontId="118" fillId="0" borderId="92" xfId="0" applyFont="1" applyBorder="1" applyAlignment="1">
      <alignment horizontal="center" vertical="center" wrapText="1"/>
    </xf>
    <xf numFmtId="10" fontId="117" fillId="0" borderId="92" xfId="0" applyNumberFormat="1" applyFont="1" applyBorder="1" applyAlignment="1">
      <alignment horizontal="center" vertical="center" wrapText="1"/>
    </xf>
    <xf numFmtId="0" fontId="119" fillId="0" borderId="0" xfId="0" applyFont="1" applyAlignment="1">
      <alignment vertical="center"/>
    </xf>
    <xf numFmtId="0" fontId="120" fillId="70" borderId="86" xfId="0" applyFont="1" applyFill="1" applyBorder="1" applyAlignment="1">
      <alignment horizontal="right" vertical="center"/>
    </xf>
    <xf numFmtId="10" fontId="106" fillId="70" borderId="93" xfId="0" applyNumberFormat="1" applyFont="1" applyFill="1" applyBorder="1" applyAlignment="1">
      <alignment horizontal="left"/>
    </xf>
    <xf numFmtId="0" fontId="121" fillId="0" borderId="0" xfId="0" applyFont="1" applyAlignment="1">
      <alignment vertical="center"/>
    </xf>
    <xf numFmtId="0" fontId="106" fillId="18" borderId="94" xfId="0" applyFont="1" applyFill="1" applyBorder="1" applyAlignment="1">
      <alignment horizontal="left" vertical="center" wrapText="1"/>
    </xf>
    <xf numFmtId="0" fontId="106" fillId="0" borderId="94" xfId="0" applyFont="1" applyBorder="1" applyAlignment="1">
      <alignment horizontal="left" vertical="center" wrapText="1"/>
    </xf>
    <xf numFmtId="0" fontId="0" fillId="0" borderId="0" xfId="0" applyAlignment="1">
      <alignment horizontal="left"/>
    </xf>
    <xf numFmtId="0" fontId="117" fillId="0" borderId="0" xfId="0" applyFont="1" applyAlignment="1">
      <alignment horizontal="left" vertical="center" indent="2"/>
    </xf>
    <xf numFmtId="0" fontId="118" fillId="0" borderId="95" xfId="0" applyFont="1" applyBorder="1" applyAlignment="1">
      <alignment horizontal="center" vertical="center" wrapText="1"/>
    </xf>
    <xf numFmtId="10" fontId="117" fillId="0" borderId="96" xfId="0" applyNumberFormat="1" applyFont="1" applyBorder="1" applyAlignment="1">
      <alignment horizontal="center" vertical="center" wrapText="1"/>
    </xf>
    <xf numFmtId="0" fontId="122" fillId="0" borderId="0" xfId="0" applyFont="1" applyAlignment="1">
      <alignment vertical="center"/>
    </xf>
    <xf numFmtId="0" fontId="87" fillId="0" borderId="0" xfId="0" applyFont="1" applyAlignment="1">
      <alignment horizontal="left" vertical="center" indent="2"/>
    </xf>
    <xf numFmtId="0" fontId="119" fillId="0" borderId="0" xfId="0" applyFont="1" applyAlignment="1">
      <alignment horizontal="left" vertical="center" indent="2"/>
    </xf>
    <xf numFmtId="0" fontId="122" fillId="0" borderId="0" xfId="0" applyFont="1" applyAlignment="1">
      <alignment horizontal="left" vertical="center" indent="2"/>
    </xf>
    <xf numFmtId="0" fontId="121" fillId="0" borderId="0" xfId="0" applyFont="1" applyAlignment="1">
      <alignment horizontal="left" vertical="center" indent="2"/>
    </xf>
    <xf numFmtId="0" fontId="123" fillId="0" borderId="0" xfId="0" applyFont="1" applyAlignment="1">
      <alignment vertical="center"/>
    </xf>
    <xf numFmtId="0" fontId="100" fillId="0" borderId="0" xfId="0" applyFont="1" applyAlignment="1">
      <alignment vertical="center"/>
    </xf>
    <xf numFmtId="0" fontId="124" fillId="0" borderId="0" xfId="0" applyFont="1" applyAlignment="1">
      <alignment vertical="center"/>
    </xf>
    <xf numFmtId="0" fontId="125" fillId="0" borderId="0" xfId="0" applyFont="1" applyAlignment="1">
      <alignment vertical="center"/>
    </xf>
    <xf numFmtId="0" fontId="87" fillId="0" borderId="0" xfId="0" applyFont="1" applyAlignment="1">
      <alignment horizontal="justify" vertical="center"/>
    </xf>
    <xf numFmtId="0" fontId="125" fillId="0" borderId="0" xfId="0" applyFont="1" applyAlignment="1">
      <alignment horizontal="justify" vertical="center"/>
    </xf>
    <xf numFmtId="0" fontId="0" fillId="0" borderId="97" xfId="0" applyBorder="1" applyAlignment="1">
      <alignment/>
    </xf>
    <xf numFmtId="0" fontId="0" fillId="0" borderId="46" xfId="0" applyBorder="1" applyAlignment="1">
      <alignment horizontal="right"/>
    </xf>
    <xf numFmtId="0" fontId="49" fillId="69" borderId="46" xfId="0" applyFont="1" applyFill="1" applyBorder="1" applyAlignment="1">
      <alignment vertical="center"/>
    </xf>
    <xf numFmtId="0" fontId="48" fillId="69" borderId="46" xfId="0" applyFont="1" applyFill="1" applyBorder="1" applyAlignment="1">
      <alignment horizontal="justify" vertical="center" wrapText="1"/>
    </xf>
    <xf numFmtId="0" fontId="44" fillId="0" borderId="46" xfId="0" applyFont="1" applyBorder="1" applyAlignment="1">
      <alignment horizontal="center" vertical="center"/>
    </xf>
    <xf numFmtId="0" fontId="0" fillId="0" borderId="0" xfId="0" applyFont="1" applyAlignment="1">
      <alignment/>
    </xf>
    <xf numFmtId="0" fontId="107" fillId="0" borderId="46" xfId="0" applyFont="1" applyBorder="1" applyAlignment="1">
      <alignment horizontal="center" vertical="center" wrapText="1"/>
    </xf>
    <xf numFmtId="0" fontId="33" fillId="71" borderId="98" xfId="185" applyNumberFormat="1" applyFont="1" applyFill="1" applyBorder="1" applyAlignment="1">
      <alignment horizontal="center" vertical="center"/>
      <protection/>
    </xf>
    <xf numFmtId="0" fontId="107" fillId="0" borderId="99" xfId="0" applyFont="1" applyBorder="1" applyAlignment="1">
      <alignment horizontal="center" vertical="center" wrapText="1"/>
    </xf>
    <xf numFmtId="0" fontId="28" fillId="16" borderId="46" xfId="0" applyFont="1" applyFill="1" applyBorder="1" applyAlignment="1">
      <alignment horizontal="justify" vertical="center" wrapText="1"/>
    </xf>
    <xf numFmtId="0" fontId="29" fillId="16" borderId="46" xfId="0" applyFont="1" applyFill="1" applyBorder="1" applyAlignment="1">
      <alignment horizontal="center" vertical="center" wrapText="1"/>
    </xf>
    <xf numFmtId="0" fontId="28" fillId="16" borderId="46" xfId="0" applyFont="1" applyFill="1" applyBorder="1" applyAlignment="1">
      <alignment wrapText="1"/>
    </xf>
    <xf numFmtId="167" fontId="28" fillId="16" borderId="46" xfId="0" applyNumberFormat="1" applyFont="1" applyFill="1" applyBorder="1" applyAlignment="1" applyProtection="1">
      <alignment horizontal="center" vertical="center"/>
      <protection/>
    </xf>
    <xf numFmtId="0" fontId="28" fillId="72" borderId="46" xfId="0" applyFont="1" applyFill="1" applyBorder="1" applyAlignment="1">
      <alignment horizontal="left" wrapText="1"/>
    </xf>
    <xf numFmtId="0" fontId="28" fillId="72" borderId="46" xfId="0" applyFont="1" applyFill="1" applyBorder="1" applyAlignment="1">
      <alignment horizontal="center"/>
    </xf>
    <xf numFmtId="0" fontId="29" fillId="16" borderId="46" xfId="0" applyFont="1" applyFill="1" applyBorder="1" applyAlignment="1">
      <alignment wrapText="1"/>
    </xf>
    <xf numFmtId="167" fontId="29" fillId="16" borderId="46" xfId="0" applyNumberFormat="1" applyFont="1" applyFill="1" applyBorder="1" applyAlignment="1" applyProtection="1">
      <alignment horizontal="center" vertical="center"/>
      <protection/>
    </xf>
    <xf numFmtId="186" fontId="28" fillId="16" borderId="46" xfId="0" applyNumberFormat="1" applyFont="1" applyFill="1" applyBorder="1" applyAlignment="1">
      <alignment horizontal="center" vertical="center"/>
    </xf>
    <xf numFmtId="0" fontId="28" fillId="16" borderId="46" xfId="0" applyNumberFormat="1" applyFont="1" applyFill="1" applyBorder="1" applyAlignment="1">
      <alignment vertical="center" wrapText="1"/>
    </xf>
    <xf numFmtId="0" fontId="28" fillId="16" borderId="46" xfId="0" applyFont="1" applyFill="1" applyBorder="1" applyAlignment="1">
      <alignment horizontal="center" vertical="center" wrapText="1"/>
    </xf>
    <xf numFmtId="49" fontId="28" fillId="16" borderId="46" xfId="0" applyNumberFormat="1" applyFont="1" applyFill="1" applyBorder="1" applyAlignment="1">
      <alignment horizontal="center" vertical="center" wrapText="1"/>
    </xf>
    <xf numFmtId="0" fontId="28" fillId="16" borderId="46" xfId="0" applyFont="1" applyFill="1" applyBorder="1" applyAlignment="1">
      <alignment horizontal="left" vertical="center" wrapText="1"/>
    </xf>
    <xf numFmtId="0" fontId="29" fillId="16" borderId="46" xfId="0" applyFont="1" applyFill="1" applyBorder="1" applyAlignment="1">
      <alignment vertical="center" wrapText="1"/>
    </xf>
    <xf numFmtId="2" fontId="28" fillId="16" borderId="46" xfId="0" applyNumberFormat="1" applyFont="1" applyFill="1" applyBorder="1" applyAlignment="1" applyProtection="1">
      <alignment horizontal="center" vertical="center"/>
      <protection/>
    </xf>
    <xf numFmtId="0" fontId="29" fillId="16" borderId="46" xfId="0" applyNumberFormat="1" applyFont="1" applyFill="1" applyBorder="1" applyAlignment="1">
      <alignment horizontal="center" vertical="center"/>
    </xf>
    <xf numFmtId="0" fontId="28" fillId="16" borderId="46" xfId="0" applyFont="1" applyFill="1" applyBorder="1" applyAlignment="1">
      <alignment vertical="center" wrapText="1"/>
    </xf>
    <xf numFmtId="0" fontId="29" fillId="16" borderId="46" xfId="0" applyFont="1" applyFill="1" applyBorder="1" applyAlignment="1">
      <alignment horizontal="center" vertical="center"/>
    </xf>
    <xf numFmtId="0" fontId="28" fillId="16" borderId="46" xfId="0" applyNumberFormat="1" applyFont="1" applyFill="1" applyBorder="1" applyAlignment="1">
      <alignment horizontal="center" vertical="center"/>
    </xf>
    <xf numFmtId="170" fontId="28" fillId="16" borderId="46" xfId="0" applyNumberFormat="1" applyFont="1" applyFill="1" applyBorder="1" applyAlignment="1" applyProtection="1">
      <alignment horizontal="center" vertical="center"/>
      <protection/>
    </xf>
    <xf numFmtId="168" fontId="29" fillId="16" borderId="46" xfId="0" applyNumberFormat="1" applyFont="1" applyFill="1" applyBorder="1" applyAlignment="1" applyProtection="1">
      <alignment horizontal="center" vertical="center"/>
      <protection/>
    </xf>
    <xf numFmtId="1" fontId="28" fillId="16" borderId="46" xfId="0" applyNumberFormat="1" applyFont="1" applyFill="1" applyBorder="1" applyAlignment="1">
      <alignment horizontal="center" vertical="center"/>
    </xf>
    <xf numFmtId="170" fontId="28" fillId="16" borderId="46" xfId="83" applyNumberFormat="1" applyFont="1" applyFill="1" applyBorder="1" applyAlignment="1" applyProtection="1">
      <alignment horizontal="center" vertical="center"/>
      <protection/>
    </xf>
    <xf numFmtId="0" fontId="28" fillId="72" borderId="46" xfId="0" applyFont="1" applyFill="1" applyBorder="1" applyAlignment="1">
      <alignment horizontal="left"/>
    </xf>
    <xf numFmtId="2" fontId="28" fillId="72" borderId="46" xfId="0" applyNumberFormat="1" applyFont="1" applyFill="1" applyBorder="1" applyAlignment="1">
      <alignment horizontal="center"/>
    </xf>
    <xf numFmtId="168" fontId="29" fillId="16" borderId="46" xfId="83" applyFont="1" applyFill="1" applyBorder="1" applyAlignment="1">
      <alignment horizontal="center"/>
      <protection/>
    </xf>
    <xf numFmtId="0" fontId="109" fillId="16" borderId="46" xfId="0" applyFont="1" applyFill="1" applyBorder="1" applyAlignment="1">
      <alignment vertical="center"/>
    </xf>
    <xf numFmtId="0" fontId="44" fillId="16" borderId="46" xfId="0" applyFont="1" applyFill="1" applyBorder="1" applyAlignment="1">
      <alignment vertical="center" wrapText="1"/>
    </xf>
    <xf numFmtId="0" fontId="44" fillId="16" borderId="46" xfId="0" applyFont="1" applyFill="1" applyBorder="1" applyAlignment="1">
      <alignment horizontal="center" vertical="center"/>
    </xf>
    <xf numFmtId="201" fontId="44" fillId="16" borderId="46" xfId="0" applyNumberFormat="1" applyFont="1" applyFill="1" applyBorder="1" applyAlignment="1">
      <alignment horizontal="center" vertical="center"/>
    </xf>
    <xf numFmtId="0" fontId="109" fillId="16" borderId="46" xfId="0" applyFont="1" applyFill="1" applyBorder="1" applyAlignment="1">
      <alignment horizontal="left" vertical="center" wrapText="1"/>
    </xf>
    <xf numFmtId="0" fontId="112" fillId="16" borderId="46" xfId="0" applyNumberFormat="1" applyFont="1" applyFill="1" applyBorder="1" applyAlignment="1">
      <alignment horizontal="center" vertical="center"/>
    </xf>
    <xf numFmtId="0" fontId="112" fillId="16" borderId="46" xfId="0" applyFont="1" applyFill="1" applyBorder="1" applyAlignment="1">
      <alignment vertical="center" wrapText="1"/>
    </xf>
    <xf numFmtId="0" fontId="112" fillId="16" borderId="46" xfId="0" applyFont="1" applyFill="1" applyBorder="1" applyAlignment="1">
      <alignment horizontal="center" vertical="center"/>
    </xf>
    <xf numFmtId="0" fontId="36" fillId="72" borderId="46" xfId="0" applyFont="1" applyFill="1" applyBorder="1" applyAlignment="1">
      <alignment horizontal="center"/>
    </xf>
    <xf numFmtId="0" fontId="29" fillId="16" borderId="46" xfId="0" applyFont="1" applyFill="1" applyBorder="1" applyAlignment="1">
      <alignment horizontal="justify" vertical="center" wrapText="1"/>
    </xf>
    <xf numFmtId="0" fontId="109" fillId="16" borderId="46" xfId="0" applyFont="1" applyFill="1" applyBorder="1" applyAlignment="1">
      <alignment horizontal="center" vertical="center"/>
    </xf>
    <xf numFmtId="201" fontId="109" fillId="16" borderId="46" xfId="0" applyNumberFormat="1" applyFont="1" applyFill="1" applyBorder="1" applyAlignment="1">
      <alignment horizontal="center" vertical="center"/>
    </xf>
    <xf numFmtId="168" fontId="0" fillId="16" borderId="46" xfId="83" applyFill="1" applyBorder="1" applyAlignment="1">
      <alignment horizontal="center"/>
      <protection/>
    </xf>
    <xf numFmtId="0" fontId="52" fillId="16" borderId="46" xfId="78" applyFont="1" applyFill="1" applyBorder="1" applyAlignment="1">
      <alignment/>
    </xf>
    <xf numFmtId="0" fontId="12" fillId="56" borderId="40" xfId="0" applyFont="1" applyFill="1" applyBorder="1" applyAlignment="1">
      <alignment horizontal="right"/>
    </xf>
    <xf numFmtId="168" fontId="12" fillId="56" borderId="41" xfId="0" applyNumberFormat="1" applyFont="1" applyFill="1" applyBorder="1" applyAlignment="1">
      <alignment horizontal="center"/>
    </xf>
    <xf numFmtId="0" fontId="10" fillId="57" borderId="100" xfId="0" applyFont="1" applyFill="1" applyBorder="1" applyAlignment="1">
      <alignment horizontal="right"/>
    </xf>
    <xf numFmtId="168" fontId="10" fillId="57" borderId="39" xfId="0" applyNumberFormat="1" applyFont="1" applyFill="1" applyBorder="1" applyAlignment="1">
      <alignment horizontal="center"/>
    </xf>
    <xf numFmtId="0" fontId="11" fillId="55" borderId="23" xfId="0" applyFont="1" applyFill="1" applyBorder="1" applyAlignment="1">
      <alignment horizontal="right" vertical="center"/>
    </xf>
    <xf numFmtId="168" fontId="11" fillId="55" borderId="41" xfId="0" applyNumberFormat="1" applyFont="1" applyFill="1" applyBorder="1" applyAlignment="1">
      <alignment horizontal="center"/>
    </xf>
    <xf numFmtId="0" fontId="30" fillId="0" borderId="37" xfId="0" applyFont="1" applyBorder="1" applyAlignment="1">
      <alignment horizontal="center"/>
    </xf>
    <xf numFmtId="0" fontId="31" fillId="0" borderId="37" xfId="0" applyFont="1" applyBorder="1" applyAlignment="1">
      <alignment horizontal="center"/>
    </xf>
    <xf numFmtId="0" fontId="32" fillId="0" borderId="38" xfId="0" applyFont="1" applyFill="1" applyBorder="1" applyAlignment="1">
      <alignment horizontal="center" vertical="center" wrapText="1"/>
    </xf>
    <xf numFmtId="0" fontId="32" fillId="0" borderId="45" xfId="0" applyFont="1" applyFill="1" applyBorder="1" applyAlignment="1">
      <alignment horizontal="center" vertical="center" wrapText="1"/>
    </xf>
    <xf numFmtId="173" fontId="32" fillId="0" borderId="37" xfId="0" applyNumberFormat="1" applyFont="1" applyFill="1" applyBorder="1" applyAlignment="1">
      <alignment horizontal="center" vertical="center"/>
    </xf>
    <xf numFmtId="0" fontId="9" fillId="60" borderId="101" xfId="0" applyFont="1" applyFill="1" applyBorder="1" applyAlignment="1">
      <alignment horizontal="center" vertical="center" wrapText="1"/>
    </xf>
    <xf numFmtId="0" fontId="9" fillId="60" borderId="102" xfId="0" applyFont="1" applyFill="1" applyBorder="1" applyAlignment="1">
      <alignment horizontal="center" vertical="center" wrapText="1"/>
    </xf>
    <xf numFmtId="0" fontId="9" fillId="60" borderId="103" xfId="0" applyFont="1" applyFill="1" applyBorder="1" applyAlignment="1">
      <alignment horizontal="center" vertical="center" wrapText="1"/>
    </xf>
    <xf numFmtId="0" fontId="8" fillId="57" borderId="46" xfId="0" applyFont="1" applyFill="1" applyBorder="1" applyAlignment="1">
      <alignment horizont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104" xfId="0" applyFont="1" applyBorder="1" applyAlignment="1">
      <alignment horizontal="center"/>
    </xf>
    <xf numFmtId="0" fontId="8" fillId="0" borderId="47" xfId="0" applyFont="1" applyBorder="1" applyAlignment="1">
      <alignment horizontal="center"/>
    </xf>
    <xf numFmtId="0" fontId="8" fillId="0" borderId="36" xfId="0" applyFont="1" applyBorder="1" applyAlignment="1">
      <alignment horizontal="center"/>
    </xf>
    <xf numFmtId="0" fontId="9" fillId="60" borderId="63" xfId="0" applyFont="1" applyFill="1" applyBorder="1" applyAlignment="1">
      <alignment horizontal="center" vertical="center" wrapText="1"/>
    </xf>
    <xf numFmtId="0" fontId="9" fillId="60" borderId="105" xfId="0" applyFont="1" applyFill="1" applyBorder="1" applyAlignment="1">
      <alignment horizontal="center" vertical="center" wrapText="1"/>
    </xf>
    <xf numFmtId="0" fontId="9" fillId="60" borderId="79" xfId="0" applyFont="1" applyFill="1" applyBorder="1" applyAlignment="1">
      <alignment horizontal="center" vertical="center" wrapText="1"/>
    </xf>
    <xf numFmtId="0" fontId="9" fillId="60" borderId="106" xfId="0" applyFont="1" applyFill="1" applyBorder="1" applyAlignment="1">
      <alignment horizontal="center" vertical="center" wrapText="1"/>
    </xf>
    <xf numFmtId="0" fontId="9" fillId="60" borderId="107" xfId="0" applyFont="1" applyFill="1" applyBorder="1" applyAlignment="1">
      <alignment horizontal="center" vertical="center" wrapText="1"/>
    </xf>
    <xf numFmtId="49" fontId="0" fillId="0" borderId="33" xfId="0" applyNumberFormat="1" applyFont="1" applyBorder="1" applyAlignment="1">
      <alignment horizontal="center"/>
    </xf>
    <xf numFmtId="0" fontId="9" fillId="60" borderId="108" xfId="0" applyFont="1" applyFill="1" applyBorder="1" applyAlignment="1">
      <alignment horizontal="center" vertical="center" wrapText="1"/>
    </xf>
    <xf numFmtId="0" fontId="9" fillId="60" borderId="109" xfId="0" applyFont="1" applyFill="1" applyBorder="1" applyAlignment="1">
      <alignment horizontal="center" vertical="center" wrapText="1"/>
    </xf>
    <xf numFmtId="0" fontId="0" fillId="0" borderId="110" xfId="0" applyBorder="1" applyAlignment="1">
      <alignment horizontal="center"/>
    </xf>
    <xf numFmtId="0" fontId="0" fillId="0" borderId="0" xfId="0" applyAlignment="1">
      <alignment horizontal="center"/>
    </xf>
    <xf numFmtId="0" fontId="8" fillId="0" borderId="111" xfId="0" applyFont="1" applyBorder="1" applyAlignment="1">
      <alignment horizontal="center"/>
    </xf>
    <xf numFmtId="0" fontId="8" fillId="0" borderId="112" xfId="0" applyFont="1" applyBorder="1" applyAlignment="1">
      <alignment horizontal="center"/>
    </xf>
    <xf numFmtId="0" fontId="8" fillId="0" borderId="113" xfId="0" applyFont="1" applyBorder="1" applyAlignment="1">
      <alignment horizontal="center"/>
    </xf>
    <xf numFmtId="0" fontId="8" fillId="0" borderId="58" xfId="0" applyFont="1" applyBorder="1" applyAlignment="1">
      <alignment horizontal="center"/>
    </xf>
    <xf numFmtId="0" fontId="8" fillId="0" borderId="59" xfId="0" applyFont="1" applyBorder="1" applyAlignment="1">
      <alignment horizontal="center"/>
    </xf>
    <xf numFmtId="0" fontId="0" fillId="0" borderId="114" xfId="0" applyBorder="1" applyAlignment="1">
      <alignment horizontal="center"/>
    </xf>
    <xf numFmtId="49" fontId="0" fillId="0" borderId="115" xfId="0" applyNumberFormat="1" applyFont="1" applyBorder="1" applyAlignment="1">
      <alignment horizontal="center"/>
    </xf>
    <xf numFmtId="0" fontId="9" fillId="60" borderId="116" xfId="0" applyFont="1" applyFill="1" applyBorder="1" applyAlignment="1">
      <alignment horizontal="center" vertical="center" wrapText="1"/>
    </xf>
    <xf numFmtId="0" fontId="9" fillId="60" borderId="117" xfId="0" applyFont="1" applyFill="1" applyBorder="1" applyAlignment="1">
      <alignment horizontal="center" vertical="center" wrapText="1"/>
    </xf>
    <xf numFmtId="0" fontId="9" fillId="60" borderId="118" xfId="0" applyFont="1" applyFill="1" applyBorder="1" applyAlignment="1">
      <alignment horizontal="center" vertical="center" wrapText="1"/>
    </xf>
    <xf numFmtId="0" fontId="8" fillId="0" borderId="110" xfId="0" applyFont="1" applyFill="1" applyBorder="1" applyAlignment="1">
      <alignment horizontal="center"/>
    </xf>
    <xf numFmtId="0" fontId="8" fillId="0" borderId="0" xfId="0" applyFont="1" applyFill="1" applyBorder="1" applyAlignment="1">
      <alignment horizontal="center"/>
    </xf>
    <xf numFmtId="0" fontId="8" fillId="0" borderId="119" xfId="0" applyFont="1" applyFill="1" applyBorder="1" applyAlignment="1">
      <alignment horizontal="center"/>
    </xf>
    <xf numFmtId="0" fontId="5" fillId="0" borderId="0" xfId="0" applyFont="1" applyAlignment="1">
      <alignment horizontal="center"/>
    </xf>
    <xf numFmtId="0" fontId="107" fillId="0" borderId="46" xfId="0" applyFont="1" applyFill="1" applyBorder="1" applyAlignment="1">
      <alignment horizontal="right" vertical="top"/>
    </xf>
    <xf numFmtId="0" fontId="0" fillId="0" borderId="46" xfId="0" applyFill="1" applyBorder="1" applyAlignment="1">
      <alignment/>
    </xf>
    <xf numFmtId="0" fontId="111" fillId="0" borderId="0" xfId="0" applyFont="1" applyAlignment="1">
      <alignment horizontal="center" vertical="center"/>
    </xf>
    <xf numFmtId="0" fontId="107" fillId="0" borderId="46" xfId="0" applyFont="1" applyFill="1" applyBorder="1" applyAlignment="1">
      <alignment horizontal="center" vertical="center"/>
    </xf>
    <xf numFmtId="0" fontId="94" fillId="0" borderId="46" xfId="0" applyFont="1" applyFill="1" applyBorder="1" applyAlignment="1">
      <alignment horizontal="justify" vertical="center" wrapText="1"/>
    </xf>
    <xf numFmtId="0" fontId="126" fillId="67" borderId="114" xfId="0" applyFont="1" applyFill="1" applyBorder="1" applyAlignment="1">
      <alignment horizontal="center" vertical="center"/>
    </xf>
    <xf numFmtId="0" fontId="126" fillId="67" borderId="0" xfId="0" applyFont="1" applyFill="1" applyBorder="1" applyAlignment="1">
      <alignment horizontal="center" vertical="center"/>
    </xf>
    <xf numFmtId="0" fontId="0" fillId="0" borderId="120" xfId="0" applyBorder="1" applyAlignment="1">
      <alignment horizontal="center" vertical="center" wrapText="1"/>
    </xf>
    <xf numFmtId="0" fontId="0" fillId="0" borderId="97" xfId="0" applyBorder="1" applyAlignment="1">
      <alignment horizontal="center" vertical="center" wrapText="1"/>
    </xf>
    <xf numFmtId="0" fontId="126" fillId="67" borderId="114" xfId="0" applyFont="1" applyFill="1" applyBorder="1" applyAlignment="1">
      <alignment horizontal="center" vertical="center" wrapText="1"/>
    </xf>
    <xf numFmtId="0" fontId="126" fillId="67" borderId="0" xfId="0" applyFont="1" applyFill="1" applyBorder="1" applyAlignment="1">
      <alignment horizontal="center" vertical="center" wrapText="1"/>
    </xf>
    <xf numFmtId="0" fontId="94" fillId="0" borderId="46" xfId="0" applyFont="1" applyFill="1" applyBorder="1" applyAlignment="1">
      <alignment horizontal="center" vertical="center" wrapText="1"/>
    </xf>
    <xf numFmtId="0" fontId="0" fillId="0" borderId="0" xfId="0" applyAlignment="1">
      <alignment horizontal="center" wrapText="1"/>
    </xf>
    <xf numFmtId="0" fontId="127" fillId="70" borderId="0" xfId="0" applyFont="1" applyFill="1" applyAlignment="1">
      <alignment horizontal="center" wrapText="1"/>
    </xf>
    <xf numFmtId="0" fontId="127" fillId="70" borderId="0" xfId="0" applyFont="1" applyFill="1" applyAlignment="1">
      <alignment horizontal="center"/>
    </xf>
    <xf numFmtId="0" fontId="87" fillId="0" borderId="0" xfId="0" applyFont="1" applyAlignment="1">
      <alignment horizontal="left" vertical="center" wrapText="1"/>
    </xf>
    <xf numFmtId="0" fontId="117" fillId="0" borderId="92" xfId="0" applyFont="1" applyBorder="1" applyAlignment="1">
      <alignment horizontal="center" vertical="center" wrapText="1"/>
    </xf>
    <xf numFmtId="0" fontId="120" fillId="70" borderId="101" xfId="0" applyFont="1" applyFill="1" applyBorder="1" applyAlignment="1">
      <alignment horizontal="center" vertical="center" wrapText="1"/>
    </xf>
    <xf numFmtId="0" fontId="120" fillId="70" borderId="102" xfId="0" applyFont="1" applyFill="1" applyBorder="1" applyAlignment="1">
      <alignment horizontal="center" vertical="center" wrapText="1"/>
    </xf>
    <xf numFmtId="0" fontId="120" fillId="70" borderId="103" xfId="0" applyFont="1" applyFill="1" applyBorder="1" applyAlignment="1">
      <alignment horizontal="center" vertical="center" wrapText="1"/>
    </xf>
    <xf numFmtId="0" fontId="106" fillId="18" borderId="121" xfId="0" applyFont="1" applyFill="1" applyBorder="1" applyAlignment="1">
      <alignment horizontal="left" vertical="center" wrapText="1"/>
    </xf>
    <xf numFmtId="0" fontId="106" fillId="18" borderId="122" xfId="0" applyFont="1" applyFill="1" applyBorder="1" applyAlignment="1">
      <alignment horizontal="left" vertical="center" wrapText="1"/>
    </xf>
    <xf numFmtId="0" fontId="106" fillId="18" borderId="123" xfId="0" applyFont="1" applyFill="1" applyBorder="1" applyAlignment="1">
      <alignment horizontal="left" vertical="center" wrapText="1"/>
    </xf>
    <xf numFmtId="0" fontId="106" fillId="0" borderId="101" xfId="0" applyFont="1" applyBorder="1" applyAlignment="1">
      <alignment horizontal="left" vertical="center" wrapText="1"/>
    </xf>
    <xf numFmtId="0" fontId="106" fillId="0" borderId="102" xfId="0" applyFont="1" applyBorder="1" applyAlignment="1">
      <alignment horizontal="left" vertical="center" wrapText="1"/>
    </xf>
    <xf numFmtId="0" fontId="106" fillId="0" borderId="103" xfId="0" applyFont="1" applyBorder="1" applyAlignment="1">
      <alignment horizontal="left" vertical="center" wrapText="1"/>
    </xf>
    <xf numFmtId="0" fontId="106" fillId="18" borderId="101" xfId="0" applyFont="1" applyFill="1" applyBorder="1" applyAlignment="1">
      <alignment horizontal="left" vertical="center" wrapText="1"/>
    </xf>
    <xf numFmtId="0" fontId="106" fillId="18" borderId="102" xfId="0" applyFont="1" applyFill="1" applyBorder="1" applyAlignment="1">
      <alignment horizontal="left" vertical="center" wrapText="1"/>
    </xf>
    <xf numFmtId="0" fontId="106" fillId="18" borderId="103" xfId="0" applyFont="1" applyFill="1" applyBorder="1" applyAlignment="1">
      <alignment horizontal="left" vertical="center" wrapText="1"/>
    </xf>
    <xf numFmtId="0" fontId="128" fillId="0" borderId="0" xfId="0" applyFont="1" applyAlignment="1">
      <alignment horizontal="left" vertical="center" wrapText="1"/>
    </xf>
    <xf numFmtId="0" fontId="87" fillId="0" borderId="0" xfId="0" applyFont="1" applyAlignment="1">
      <alignment horizontal="left" vertical="center"/>
    </xf>
    <xf numFmtId="0" fontId="106" fillId="70" borderId="46" xfId="0" applyFont="1" applyFill="1" applyBorder="1" applyAlignment="1">
      <alignment horizontal="center" vertical="center"/>
    </xf>
    <xf numFmtId="10" fontId="129" fillId="0" borderId="46" xfId="0" applyNumberFormat="1" applyFont="1" applyBorder="1" applyAlignment="1">
      <alignment horizontal="center" vertical="center"/>
    </xf>
    <xf numFmtId="0" fontId="124" fillId="0" borderId="0" xfId="0" applyFont="1" applyAlignment="1">
      <alignment horizontal="center" wrapText="1"/>
    </xf>
    <xf numFmtId="0" fontId="87" fillId="0" borderId="0" xfId="0" applyFont="1" applyAlignment="1" quotePrefix="1">
      <alignment horizontal="justify" vertical="center" wrapText="1"/>
    </xf>
    <xf numFmtId="0" fontId="87" fillId="0" borderId="0" xfId="0" applyFont="1" applyAlignment="1">
      <alignment horizontal="justify" vertical="center" wrapText="1"/>
    </xf>
    <xf numFmtId="0" fontId="124" fillId="0" borderId="0" xfId="0" applyFont="1" applyAlignment="1">
      <alignment horizontal="center" vertical="center"/>
    </xf>
    <xf numFmtId="0" fontId="0" fillId="0" borderId="0" xfId="0" applyFont="1" applyBorder="1" applyAlignment="1">
      <alignment horizontal="center"/>
    </xf>
    <xf numFmtId="0" fontId="33" fillId="73" borderId="46" xfId="185" applyNumberFormat="1" applyFont="1" applyFill="1" applyBorder="1" applyAlignment="1">
      <alignment horizontal="center" vertical="center"/>
      <protection/>
    </xf>
    <xf numFmtId="0" fontId="33" fillId="73" borderId="46" xfId="185" applyNumberFormat="1" applyFont="1" applyFill="1" applyBorder="1" applyAlignment="1">
      <alignment horizontal="center" vertical="center" wrapText="1"/>
      <protection/>
    </xf>
    <xf numFmtId="0" fontId="107" fillId="0" borderId="124" xfId="0" applyFont="1" applyBorder="1" applyAlignment="1">
      <alignment horizontal="center" vertical="center" wrapText="1"/>
    </xf>
    <xf numFmtId="0" fontId="107" fillId="0" borderId="99" xfId="0" applyFont="1" applyBorder="1" applyAlignment="1">
      <alignment horizontal="center" vertical="center" wrapText="1"/>
    </xf>
    <xf numFmtId="0" fontId="33" fillId="71" borderId="120" xfId="185" applyNumberFormat="1" applyFont="1" applyFill="1" applyBorder="1" applyAlignment="1">
      <alignment horizontal="center" vertical="center"/>
      <protection/>
    </xf>
    <xf numFmtId="0" fontId="33" fillId="71" borderId="125" xfId="185" applyNumberFormat="1" applyFont="1" applyFill="1" applyBorder="1" applyAlignment="1">
      <alignment horizontal="center" vertical="center"/>
      <protection/>
    </xf>
    <xf numFmtId="0" fontId="33" fillId="0" borderId="124" xfId="0" applyFont="1" applyBorder="1" applyAlignment="1">
      <alignment horizontal="center" wrapText="1"/>
    </xf>
    <xf numFmtId="0" fontId="33" fillId="0" borderId="99" xfId="0" applyFont="1" applyBorder="1" applyAlignment="1">
      <alignment horizontal="center" wrapText="1"/>
    </xf>
    <xf numFmtId="0" fontId="33" fillId="0" borderId="46" xfId="0" applyFont="1" applyBorder="1" applyAlignment="1">
      <alignment horizontal="center" vertical="center"/>
    </xf>
    <xf numFmtId="49" fontId="48" fillId="74" borderId="46" xfId="0" applyNumberFormat="1" applyFont="1" applyFill="1" applyBorder="1" applyAlignment="1">
      <alignment horizontal="center" vertical="center" wrapText="1"/>
    </xf>
    <xf numFmtId="0" fontId="48" fillId="74" borderId="46" xfId="0" applyFont="1" applyFill="1" applyBorder="1" applyAlignment="1">
      <alignment horizontal="left" vertical="center" wrapText="1"/>
    </xf>
    <xf numFmtId="0" fontId="48" fillId="74" borderId="46" xfId="0" applyFont="1" applyFill="1" applyBorder="1" applyAlignment="1">
      <alignment horizontal="center" vertical="center" wrapText="1"/>
    </xf>
    <xf numFmtId="2" fontId="48" fillId="74" borderId="46" xfId="0" applyNumberFormat="1" applyFont="1" applyFill="1" applyBorder="1" applyAlignment="1">
      <alignment horizontal="center" vertical="center"/>
    </xf>
    <xf numFmtId="170" fontId="48" fillId="74" borderId="46" xfId="83" applyNumberFormat="1" applyFont="1" applyFill="1" applyBorder="1" applyAlignment="1" applyProtection="1">
      <alignment horizontal="center" vertical="center"/>
      <protection/>
    </xf>
    <xf numFmtId="168" fontId="49" fillId="74" borderId="46" xfId="0" applyNumberFormat="1" applyFont="1" applyFill="1" applyBorder="1" applyAlignment="1" applyProtection="1">
      <alignment horizontal="center" vertical="center"/>
      <protection/>
    </xf>
    <xf numFmtId="10" fontId="0" fillId="74" borderId="46" xfId="165" applyNumberFormat="1" applyFill="1" applyBorder="1" applyAlignment="1">
      <alignment/>
    </xf>
    <xf numFmtId="10" fontId="0" fillId="74" borderId="46" xfId="0" applyNumberFormat="1" applyFill="1" applyBorder="1" applyAlignment="1">
      <alignment/>
    </xf>
    <xf numFmtId="0" fontId="0" fillId="74" borderId="46" xfId="0" applyFill="1" applyBorder="1" applyAlignment="1">
      <alignment/>
    </xf>
    <xf numFmtId="49" fontId="28" fillId="74" borderId="46" xfId="0" applyNumberFormat="1" applyFont="1" applyFill="1" applyBorder="1" applyAlignment="1">
      <alignment horizontal="center" vertical="center" wrapText="1"/>
    </xf>
    <xf numFmtId="0" fontId="28" fillId="74" borderId="46" xfId="0" applyFont="1" applyFill="1" applyBorder="1" applyAlignment="1">
      <alignment horizontal="left" vertical="center" wrapText="1"/>
    </xf>
    <xf numFmtId="0" fontId="28" fillId="74" borderId="46" xfId="0" applyFont="1" applyFill="1" applyBorder="1" applyAlignment="1">
      <alignment horizontal="center" vertical="center" wrapText="1"/>
    </xf>
    <xf numFmtId="2" fontId="28" fillId="74" borderId="46" xfId="0" applyNumberFormat="1" applyFont="1" applyFill="1" applyBorder="1" applyAlignment="1">
      <alignment horizontal="center" vertical="center"/>
    </xf>
    <xf numFmtId="170" fontId="28" fillId="74" borderId="46" xfId="83" applyNumberFormat="1" applyFont="1" applyFill="1" applyBorder="1" applyAlignment="1" applyProtection="1">
      <alignment horizontal="center" vertical="center"/>
      <protection/>
    </xf>
    <xf numFmtId="186" fontId="28" fillId="75" borderId="46" xfId="0" applyNumberFormat="1" applyFont="1" applyFill="1" applyBorder="1" applyAlignment="1">
      <alignment horizontal="center" vertical="center"/>
    </xf>
    <xf numFmtId="0" fontId="28" fillId="75" borderId="46" xfId="0" applyFont="1" applyFill="1" applyBorder="1" applyAlignment="1">
      <alignment vertical="center" wrapText="1"/>
    </xf>
    <xf numFmtId="167" fontId="29" fillId="75" borderId="46" xfId="0" applyNumberFormat="1" applyFont="1" applyFill="1" applyBorder="1" applyAlignment="1" applyProtection="1">
      <alignment horizontal="center" vertical="center"/>
      <protection/>
    </xf>
    <xf numFmtId="2" fontId="28" fillId="75" borderId="46" xfId="0" applyNumberFormat="1" applyFont="1" applyFill="1" applyBorder="1" applyAlignment="1" applyProtection="1">
      <alignment horizontal="center" vertical="center"/>
      <protection/>
    </xf>
    <xf numFmtId="170" fontId="28" fillId="75" borderId="46" xfId="0" applyNumberFormat="1" applyFont="1" applyFill="1" applyBorder="1" applyAlignment="1" applyProtection="1">
      <alignment horizontal="center" vertical="center"/>
      <protection/>
    </xf>
    <xf numFmtId="168" fontId="29" fillId="75" borderId="46" xfId="0" applyNumberFormat="1" applyFont="1" applyFill="1" applyBorder="1" applyAlignment="1" applyProtection="1">
      <alignment horizontal="center" vertical="center"/>
      <protection/>
    </xf>
    <xf numFmtId="10" fontId="0" fillId="75" borderId="46" xfId="165" applyNumberFormat="1" applyFill="1" applyBorder="1" applyAlignment="1">
      <alignment/>
    </xf>
    <xf numFmtId="10" fontId="0" fillId="75" borderId="46" xfId="0" applyNumberFormat="1" applyFill="1" applyBorder="1" applyAlignment="1">
      <alignment/>
    </xf>
    <xf numFmtId="0" fontId="0" fillId="75" borderId="46" xfId="0" applyFill="1" applyBorder="1" applyAlignment="1">
      <alignment/>
    </xf>
    <xf numFmtId="0" fontId="28" fillId="75" borderId="46" xfId="0" applyNumberFormat="1" applyFont="1" applyFill="1" applyBorder="1" applyAlignment="1">
      <alignment horizontal="center" vertical="center"/>
    </xf>
    <xf numFmtId="0" fontId="112" fillId="75" borderId="46" xfId="0" applyFont="1" applyFill="1" applyBorder="1" applyAlignment="1">
      <alignment vertical="center" wrapText="1"/>
    </xf>
    <xf numFmtId="0" fontId="112" fillId="75" borderId="46" xfId="0" applyFont="1" applyFill="1" applyBorder="1" applyAlignment="1">
      <alignment horizontal="center" vertical="center"/>
    </xf>
    <xf numFmtId="167" fontId="28" fillId="75" borderId="46" xfId="0" applyNumberFormat="1" applyFont="1" applyFill="1" applyBorder="1" applyAlignment="1" applyProtection="1">
      <alignment horizontal="center" vertical="center"/>
      <protection/>
    </xf>
    <xf numFmtId="0" fontId="29" fillId="75" borderId="46" xfId="0" applyFont="1" applyFill="1" applyBorder="1" applyAlignment="1">
      <alignment horizontal="center" vertical="center" wrapText="1"/>
    </xf>
    <xf numFmtId="0" fontId="28" fillId="75" borderId="46" xfId="0" applyFont="1" applyFill="1" applyBorder="1" applyAlignment="1">
      <alignment horizontal="justify" vertical="center" wrapText="1"/>
    </xf>
    <xf numFmtId="0" fontId="28" fillId="76" borderId="46" xfId="0" applyFont="1" applyFill="1" applyBorder="1" applyAlignment="1">
      <alignment horizontal="center"/>
    </xf>
    <xf numFmtId="0" fontId="28" fillId="76" borderId="46" xfId="0" applyFont="1" applyFill="1" applyBorder="1" applyAlignment="1">
      <alignment horizontal="left" wrapText="1"/>
    </xf>
    <xf numFmtId="2" fontId="28" fillId="76" borderId="46" xfId="0" applyNumberFormat="1" applyFont="1" applyFill="1" applyBorder="1" applyAlignment="1">
      <alignment horizontal="center"/>
    </xf>
    <xf numFmtId="168" fontId="29" fillId="75" borderId="46" xfId="83" applyFont="1" applyFill="1" applyBorder="1" applyAlignment="1">
      <alignment horizontal="center"/>
      <protection/>
    </xf>
    <xf numFmtId="0" fontId="28" fillId="77" borderId="46" xfId="0" applyFont="1" applyFill="1" applyBorder="1" applyAlignment="1">
      <alignment horizontal="center" vertical="center" wrapText="1"/>
    </xf>
    <xf numFmtId="188" fontId="1" fillId="77" borderId="46" xfId="0" applyNumberFormat="1" applyFont="1" applyFill="1" applyBorder="1" applyAlignment="1">
      <alignment horizontal="left" vertical="center" wrapText="1"/>
    </xf>
    <xf numFmtId="167" fontId="28" fillId="77" borderId="46" xfId="0" applyNumberFormat="1" applyFont="1" applyFill="1" applyBorder="1" applyAlignment="1" applyProtection="1">
      <alignment horizontal="center" vertical="center"/>
      <protection/>
    </xf>
    <xf numFmtId="2" fontId="28" fillId="77" borderId="46" xfId="0" applyNumberFormat="1" applyFont="1" applyFill="1" applyBorder="1" applyAlignment="1" applyProtection="1">
      <alignment horizontal="center" vertical="center"/>
      <protection/>
    </xf>
    <xf numFmtId="170" fontId="28" fillId="77" borderId="46" xfId="0" applyNumberFormat="1" applyFont="1" applyFill="1" applyBorder="1" applyAlignment="1" applyProtection="1">
      <alignment horizontal="center" vertical="center"/>
      <protection/>
    </xf>
    <xf numFmtId="10" fontId="0" fillId="16" borderId="46" xfId="165" applyNumberFormat="1" applyFill="1" applyBorder="1" applyAlignment="1">
      <alignment/>
    </xf>
    <xf numFmtId="10" fontId="0" fillId="16" borderId="46" xfId="0" applyNumberFormat="1" applyFill="1" applyBorder="1" applyAlignment="1">
      <alignment/>
    </xf>
    <xf numFmtId="0" fontId="0" fillId="16" borderId="46" xfId="0" applyFill="1" applyBorder="1" applyAlignment="1">
      <alignment/>
    </xf>
    <xf numFmtId="0" fontId="111" fillId="16" borderId="46" xfId="0" applyFont="1" applyFill="1" applyBorder="1" applyAlignment="1">
      <alignment horizontal="center" vertical="center" wrapText="1"/>
    </xf>
    <xf numFmtId="0" fontId="111" fillId="16" borderId="46" xfId="0" applyFont="1" applyFill="1" applyBorder="1" applyAlignment="1">
      <alignment vertical="center" wrapText="1"/>
    </xf>
    <xf numFmtId="2" fontId="29" fillId="16" borderId="46" xfId="0" applyNumberFormat="1" applyFont="1" applyFill="1" applyBorder="1" applyAlignment="1" applyProtection="1">
      <alignment horizontal="center" vertical="center"/>
      <protection/>
    </xf>
    <xf numFmtId="168" fontId="28" fillId="16" borderId="46" xfId="83" applyFont="1" applyFill="1" applyBorder="1" applyAlignment="1" applyProtection="1">
      <alignment horizontal="center" vertical="center"/>
      <protection/>
    </xf>
    <xf numFmtId="0" fontId="28" fillId="16" borderId="46" xfId="0" applyFont="1" applyFill="1" applyBorder="1" applyAlignment="1">
      <alignment/>
    </xf>
    <xf numFmtId="188" fontId="1" fillId="72" borderId="46" xfId="0" applyNumberFormat="1" applyFont="1" applyFill="1" applyBorder="1" applyAlignment="1">
      <alignment horizontal="left" vertical="center" wrapText="1"/>
    </xf>
    <xf numFmtId="2" fontId="28" fillId="16" borderId="46" xfId="0" applyNumberFormat="1" applyFont="1" applyFill="1" applyBorder="1" applyAlignment="1">
      <alignment horizontal="center" vertical="center"/>
    </xf>
    <xf numFmtId="0" fontId="28" fillId="16" borderId="46" xfId="0" applyFont="1" applyFill="1" applyBorder="1" applyAlignment="1">
      <alignment horizontal="center"/>
    </xf>
    <xf numFmtId="0" fontId="36" fillId="16" borderId="46" xfId="0" applyFont="1" applyFill="1" applyBorder="1" applyAlignment="1">
      <alignment/>
    </xf>
    <xf numFmtId="0" fontId="109" fillId="16" borderId="46" xfId="0" applyFont="1" applyFill="1" applyBorder="1" applyAlignment="1">
      <alignment vertical="center" wrapText="1"/>
    </xf>
    <xf numFmtId="170" fontId="29" fillId="16" borderId="46" xfId="0" applyNumberFormat="1" applyFont="1" applyFill="1" applyBorder="1" applyAlignment="1" applyProtection="1">
      <alignment horizontal="center" vertical="center"/>
      <protection/>
    </xf>
    <xf numFmtId="0" fontId="111" fillId="16" borderId="46" xfId="0" applyFont="1" applyFill="1" applyBorder="1" applyAlignment="1">
      <alignment/>
    </xf>
    <xf numFmtId="0" fontId="29" fillId="16" borderId="46" xfId="0" applyFont="1" applyFill="1" applyBorder="1" applyAlignment="1">
      <alignment horizontal="center"/>
    </xf>
    <xf numFmtId="0" fontId="94" fillId="16" borderId="46" xfId="0" applyFont="1" applyFill="1" applyBorder="1" applyAlignment="1">
      <alignment wrapText="1"/>
    </xf>
    <xf numFmtId="0" fontId="94" fillId="16" borderId="46" xfId="0" applyFont="1" applyFill="1" applyBorder="1" applyAlignment="1">
      <alignment horizontal="center" vertical="center" wrapText="1"/>
    </xf>
    <xf numFmtId="0" fontId="112" fillId="16" borderId="46" xfId="0" applyFont="1" applyFill="1" applyBorder="1" applyAlignment="1">
      <alignment horizontal="center" vertical="center" wrapText="1"/>
    </xf>
    <xf numFmtId="0" fontId="49" fillId="16" borderId="46" xfId="0" applyFont="1" applyFill="1" applyBorder="1" applyAlignment="1">
      <alignment vertical="center"/>
    </xf>
    <xf numFmtId="0" fontId="48" fillId="75" borderId="46" xfId="0" applyFont="1" applyFill="1" applyBorder="1" applyAlignment="1">
      <alignment vertical="center"/>
    </xf>
    <xf numFmtId="0" fontId="49" fillId="75" borderId="46" xfId="0" applyFont="1" applyFill="1" applyBorder="1" applyAlignment="1">
      <alignment vertical="center"/>
    </xf>
    <xf numFmtId="0" fontId="48" fillId="16" borderId="46" xfId="0" applyFont="1" applyFill="1" applyBorder="1" applyAlignment="1">
      <alignment vertical="center"/>
    </xf>
    <xf numFmtId="0" fontId="48" fillId="74" borderId="46" xfId="0" applyFont="1" applyFill="1" applyBorder="1" applyAlignment="1">
      <alignment vertical="center"/>
    </xf>
  </cellXfs>
  <cellStyles count="196">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Data" xfId="59"/>
    <cellStyle name="Ênfase1" xfId="60"/>
    <cellStyle name="Ênfase1 2" xfId="61"/>
    <cellStyle name="Ênfase2" xfId="62"/>
    <cellStyle name="Ênfase2 2" xfId="63"/>
    <cellStyle name="Ênfase3" xfId="64"/>
    <cellStyle name="Ênfase3 2" xfId="65"/>
    <cellStyle name="Ênfase4" xfId="66"/>
    <cellStyle name="Ênfase4 2" xfId="67"/>
    <cellStyle name="Ênfase5" xfId="68"/>
    <cellStyle name="Ênfase5 2" xfId="69"/>
    <cellStyle name="Ênfase6" xfId="70"/>
    <cellStyle name="Ênfase6 2" xfId="71"/>
    <cellStyle name="Entrada" xfId="72"/>
    <cellStyle name="Entrada 2" xfId="73"/>
    <cellStyle name="Excel Built-in Percent" xfId="74"/>
    <cellStyle name="Fixo" xfId="75"/>
    <cellStyle name="Heading" xfId="76"/>
    <cellStyle name="Heading1" xfId="77"/>
    <cellStyle name="Hyperlink" xfId="78"/>
    <cellStyle name="Followed Hyperlink" xfId="79"/>
    <cellStyle name="Hyperlink 2" xfId="80"/>
    <cellStyle name="Incorreto" xfId="81"/>
    <cellStyle name="Incorreto 2" xfId="82"/>
    <cellStyle name="Currency" xfId="83"/>
    <cellStyle name="Currency [0]" xfId="84"/>
    <cellStyle name="Moeda 2" xfId="85"/>
    <cellStyle name="Moeda 2 2" xfId="86"/>
    <cellStyle name="Moeda 2 3" xfId="87"/>
    <cellStyle name="Moeda 3" xfId="88"/>
    <cellStyle name="Moeda 3 2" xfId="89"/>
    <cellStyle name="Neutra" xfId="90"/>
    <cellStyle name="Neutra 2" xfId="91"/>
    <cellStyle name="Normal 10" xfId="92"/>
    <cellStyle name="Normal 11" xfId="93"/>
    <cellStyle name="Normal 12" xfId="94"/>
    <cellStyle name="Normal 13" xfId="95"/>
    <cellStyle name="Normal 14" xfId="96"/>
    <cellStyle name="Normal 15" xfId="97"/>
    <cellStyle name="Normal 16" xfId="98"/>
    <cellStyle name="Normal 17" xfId="99"/>
    <cellStyle name="Normal 18" xfId="100"/>
    <cellStyle name="Normal 19" xfId="101"/>
    <cellStyle name="Normal 2" xfId="102"/>
    <cellStyle name="Normal 2 10" xfId="103"/>
    <cellStyle name="Normal 2 11" xfId="104"/>
    <cellStyle name="Normal 2 12" xfId="105"/>
    <cellStyle name="Normal 2 13" xfId="106"/>
    <cellStyle name="Normal 2 14" xfId="107"/>
    <cellStyle name="Normal 2 15" xfId="108"/>
    <cellStyle name="Normal 2 16" xfId="109"/>
    <cellStyle name="Normal 2 17" xfId="110"/>
    <cellStyle name="Normal 2 18" xfId="111"/>
    <cellStyle name="Normal 2 19" xfId="112"/>
    <cellStyle name="Normal 2 2" xfId="113"/>
    <cellStyle name="Normal 2 2 2" xfId="114"/>
    <cellStyle name="Normal 2 20" xfId="115"/>
    <cellStyle name="Normal 2 21" xfId="116"/>
    <cellStyle name="Normal 2 3" xfId="117"/>
    <cellStyle name="Normal 2 4" xfId="118"/>
    <cellStyle name="Normal 2 5" xfId="119"/>
    <cellStyle name="Normal 2 6" xfId="120"/>
    <cellStyle name="Normal 2 7" xfId="121"/>
    <cellStyle name="Normal 2 8" xfId="122"/>
    <cellStyle name="Normal 2 9" xfId="123"/>
    <cellStyle name="Normal 20" xfId="124"/>
    <cellStyle name="Normal 21" xfId="125"/>
    <cellStyle name="Normal 22" xfId="126"/>
    <cellStyle name="Normal 23" xfId="127"/>
    <cellStyle name="Normal 24" xfId="128"/>
    <cellStyle name="Normal 25" xfId="129"/>
    <cellStyle name="Normal 26" xfId="130"/>
    <cellStyle name="Normal 27" xfId="131"/>
    <cellStyle name="Normal 28" xfId="132"/>
    <cellStyle name="Normal 29" xfId="133"/>
    <cellStyle name="Normal 3" xfId="134"/>
    <cellStyle name="Normal 30" xfId="135"/>
    <cellStyle name="Normal 31" xfId="136"/>
    <cellStyle name="Normal 32" xfId="137"/>
    <cellStyle name="Normal 33" xfId="138"/>
    <cellStyle name="Normal 34" xfId="139"/>
    <cellStyle name="Normal 35" xfId="140"/>
    <cellStyle name="Normal 36" xfId="141"/>
    <cellStyle name="Normal 37" xfId="142"/>
    <cellStyle name="Normal 38" xfId="143"/>
    <cellStyle name="Normal 39" xfId="144"/>
    <cellStyle name="Normal 4" xfId="145"/>
    <cellStyle name="Normal 40" xfId="146"/>
    <cellStyle name="Normal 41" xfId="147"/>
    <cellStyle name="Normal 42" xfId="148"/>
    <cellStyle name="Normal 43" xfId="149"/>
    <cellStyle name="Normal 44" xfId="150"/>
    <cellStyle name="Normal 45" xfId="151"/>
    <cellStyle name="Normal 46" xfId="152"/>
    <cellStyle name="Normal 47" xfId="153"/>
    <cellStyle name="Normal 5" xfId="154"/>
    <cellStyle name="Normal 6" xfId="155"/>
    <cellStyle name="Normal 6 2" xfId="156"/>
    <cellStyle name="Normal 7" xfId="157"/>
    <cellStyle name="Normal 8" xfId="158"/>
    <cellStyle name="Normal 9" xfId="159"/>
    <cellStyle name="Nota" xfId="160"/>
    <cellStyle name="Nota 2" xfId="161"/>
    <cellStyle name="Nota 3" xfId="162"/>
    <cellStyle name="Percentual" xfId="163"/>
    <cellStyle name="Ponto" xfId="164"/>
    <cellStyle name="Percent" xfId="165"/>
    <cellStyle name="Porcentagem 2" xfId="166"/>
    <cellStyle name="Porcentagem 2 2" xfId="167"/>
    <cellStyle name="Porcentagem 3" xfId="168"/>
    <cellStyle name="Porcentagem 3 2" xfId="169"/>
    <cellStyle name="Result" xfId="170"/>
    <cellStyle name="Result2" xfId="171"/>
    <cellStyle name="Saída" xfId="172"/>
    <cellStyle name="Saída 2" xfId="173"/>
    <cellStyle name="Comma [0]" xfId="174"/>
    <cellStyle name="Separador de milhares 2" xfId="175"/>
    <cellStyle name="Separador de milhares 2 2" xfId="176"/>
    <cellStyle name="Separador de milhares 28" xfId="177"/>
    <cellStyle name="Separador de milhares 28 2" xfId="178"/>
    <cellStyle name="Separador de milhares 3" xfId="179"/>
    <cellStyle name="Separador de milhares 3 2" xfId="180"/>
    <cellStyle name="Separador de milhares 4" xfId="181"/>
    <cellStyle name="Separador de milhares 6" xfId="182"/>
    <cellStyle name="Separador de milhares 7" xfId="183"/>
    <cellStyle name="Separador de milhares 8" xfId="184"/>
    <cellStyle name="TableStyleLight1" xfId="185"/>
    <cellStyle name="Texto de Aviso" xfId="186"/>
    <cellStyle name="Texto de Aviso 2" xfId="187"/>
    <cellStyle name="Texto Explicativo" xfId="188"/>
    <cellStyle name="Texto Explicativo 2" xfId="189"/>
    <cellStyle name="Título" xfId="190"/>
    <cellStyle name="Título 1" xfId="191"/>
    <cellStyle name="Título 1 1" xfId="192"/>
    <cellStyle name="Título 1 2" xfId="193"/>
    <cellStyle name="Título 2" xfId="194"/>
    <cellStyle name="Título 2 2" xfId="195"/>
    <cellStyle name="Título 3" xfId="196"/>
    <cellStyle name="Título 3 2" xfId="197"/>
    <cellStyle name="Título 4" xfId="198"/>
    <cellStyle name="Título 4 2" xfId="199"/>
    <cellStyle name="Título 5" xfId="200"/>
    <cellStyle name="Titulo1" xfId="201"/>
    <cellStyle name="Titulo2" xfId="202"/>
    <cellStyle name="Total" xfId="203"/>
    <cellStyle name="Total 2" xfId="204"/>
    <cellStyle name="Comma" xfId="205"/>
    <cellStyle name="Vírgula 2" xfId="206"/>
    <cellStyle name="Vírgula 2 2" xfId="207"/>
    <cellStyle name="Vírgula 3" xfId="208"/>
    <cellStyle name="Vírgula 3 2" xfId="2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AE00"/>
      <rgbColor rgb="00000080"/>
      <rgbColor rgb="004F6228"/>
      <rgbColor rgb="00800080"/>
      <rgbColor rgb="000070C0"/>
      <rgbColor rgb="00BFBFBF"/>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4D1"/>
      <rgbColor rgb="000000FF"/>
      <rgbColor rgb="0000B8FF"/>
      <rgbColor rgb="00CCFFFF"/>
      <rgbColor rgb="00D7E4BD"/>
      <rgbColor rgb="00FFFF99"/>
      <rgbColor rgb="0099CCFF"/>
      <rgbColor rgb="00FF99CC"/>
      <rgbColor rgb="00CC99FF"/>
      <rgbColor rgb="00FFCC99"/>
      <rgbColor rgb="003366FF"/>
      <rgbColor rgb="0033CCCC"/>
      <rgbColor rgb="0092D050"/>
      <rgbColor rgb="00FFCC00"/>
      <rgbColor rgb="00FF9900"/>
      <rgbColor rgb="00FF6600"/>
      <rgbColor rgb="00666699"/>
      <rgbColor rgb="00B2B2B2"/>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25"/>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5"/>
          <c:y val="0.143"/>
          <c:w val="0.96925"/>
          <c:h val="0.854"/>
        </c:manualLayout>
      </c:layout>
      <c:lineChart>
        <c:grouping val="standard"/>
        <c:varyColors val="0"/>
        <c:ser>
          <c:idx val="0"/>
          <c:order val="0"/>
          <c:tx>
            <c:v>Curva ABC</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'curva abc'!$A$16:$A$98</c:f>
              <c:strCache/>
            </c:strRef>
          </c:cat>
          <c:val>
            <c:numRef>
              <c:f>'curva abc'!$I$16:$I$98</c:f>
              <c:numCache/>
            </c:numRef>
          </c:val>
          <c:smooth val="0"/>
        </c:ser>
        <c:marker val="1"/>
        <c:axId val="47265241"/>
        <c:axId val="22733986"/>
      </c:lineChart>
      <c:catAx>
        <c:axId val="4726524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2733986"/>
        <c:crosses val="autoZero"/>
        <c:auto val="1"/>
        <c:lblOffset val="100"/>
        <c:tickLblSkip val="4"/>
        <c:noMultiLvlLbl val="0"/>
      </c:catAx>
      <c:valAx>
        <c:axId val="22733986"/>
        <c:scaling>
          <c:orientation val="minMax"/>
          <c:max val="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26524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5.emf" /><Relationship Id="rId3"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1209675</xdr:colOff>
      <xdr:row>0</xdr:row>
      <xdr:rowOff>171450</xdr:rowOff>
    </xdr:from>
    <xdr:to>
      <xdr:col>2</xdr:col>
      <xdr:colOff>1819275</xdr:colOff>
      <xdr:row>4</xdr:row>
      <xdr:rowOff>95250</xdr:rowOff>
    </xdr:to>
    <xdr:pic>
      <xdr:nvPicPr>
        <xdr:cNvPr id="1" name="Imagem 2"/>
        <xdr:cNvPicPr preferRelativeResize="1">
          <a:picLocks noChangeAspect="1"/>
        </xdr:cNvPicPr>
      </xdr:nvPicPr>
      <xdr:blipFill>
        <a:blip r:embed="rId1"/>
        <a:stretch>
          <a:fillRect/>
        </a:stretch>
      </xdr:blipFill>
      <xdr:spPr>
        <a:xfrm>
          <a:off x="2428875" y="171450"/>
          <a:ext cx="609600" cy="685800"/>
        </a:xfrm>
        <a:prstGeom prst="rect">
          <a:avLst/>
        </a:prstGeom>
        <a:solidFill>
          <a:srgbClr val="FFFFFF"/>
        </a:solidFill>
        <a:ln w="9525" cmpd="sng">
          <a:noFill/>
        </a:ln>
      </xdr:spPr>
    </xdr:pic>
    <xdr:clientData/>
  </xdr:twoCellAnchor>
  <xdr:twoCellAnchor>
    <xdr:from>
      <xdr:col>0</xdr:col>
      <xdr:colOff>114300</xdr:colOff>
      <xdr:row>1</xdr:row>
      <xdr:rowOff>9525</xdr:rowOff>
    </xdr:from>
    <xdr:to>
      <xdr:col>1</xdr:col>
      <xdr:colOff>171450</xdr:colOff>
      <xdr:row>4</xdr:row>
      <xdr:rowOff>180975</xdr:rowOff>
    </xdr:to>
    <xdr:pic>
      <xdr:nvPicPr>
        <xdr:cNvPr id="2" name="Imagem 3"/>
        <xdr:cNvPicPr preferRelativeResize="1">
          <a:picLocks noChangeAspect="1"/>
        </xdr:cNvPicPr>
      </xdr:nvPicPr>
      <xdr:blipFill>
        <a:blip r:embed="rId2"/>
        <a:stretch>
          <a:fillRect/>
        </a:stretch>
      </xdr:blipFill>
      <xdr:spPr>
        <a:xfrm>
          <a:off x="114300" y="200025"/>
          <a:ext cx="666750" cy="742950"/>
        </a:xfrm>
        <a:prstGeom prst="rect">
          <a:avLst/>
        </a:prstGeom>
        <a:solidFill>
          <a:srgbClr val="FFFFFF"/>
        </a:solidFill>
        <a:ln w="9525" cmpd="sng">
          <a:noFill/>
        </a:ln>
      </xdr:spPr>
    </xdr:pic>
    <xdr:clientData/>
  </xdr:twoCellAnchor>
  <xdr:twoCellAnchor>
    <xdr:from>
      <xdr:col>1</xdr:col>
      <xdr:colOff>257175</xdr:colOff>
      <xdr:row>9</xdr:row>
      <xdr:rowOff>104775</xdr:rowOff>
    </xdr:from>
    <xdr:to>
      <xdr:col>3</xdr:col>
      <xdr:colOff>523875</xdr:colOff>
      <xdr:row>10</xdr:row>
      <xdr:rowOff>9525</xdr:rowOff>
    </xdr:to>
    <xdr:pic>
      <xdr:nvPicPr>
        <xdr:cNvPr id="3" name="Imagem 5"/>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866775" y="1905000"/>
          <a:ext cx="4581525" cy="476250"/>
        </a:xfrm>
        <a:prstGeom prst="rect">
          <a:avLst/>
        </a:prstGeom>
        <a:noFill/>
        <a:ln w="9525" cmpd="sng">
          <a:noFill/>
        </a:ln>
      </xdr:spPr>
    </xdr:pic>
    <xdr:clientData/>
  </xdr:twoCellAnchor>
  <xdr:twoCellAnchor editAs="oneCell">
    <xdr:from>
      <xdr:col>0</xdr:col>
      <xdr:colOff>219075</xdr:colOff>
      <xdr:row>97</xdr:row>
      <xdr:rowOff>28575</xdr:rowOff>
    </xdr:from>
    <xdr:to>
      <xdr:col>3</xdr:col>
      <xdr:colOff>609600</xdr:colOff>
      <xdr:row>102</xdr:row>
      <xdr:rowOff>47625</xdr:rowOff>
    </xdr:to>
    <xdr:pic>
      <xdr:nvPicPr>
        <xdr:cNvPr id="4" name="Imagem 6"/>
        <xdr:cNvPicPr preferRelativeResize="1">
          <a:picLocks noChangeAspect="1"/>
        </xdr:cNvPicPr>
      </xdr:nvPicPr>
      <xdr:blipFill>
        <a:blip r:embed="rId4"/>
        <a:srcRect l="13929" t="43623" r="18800" b="35896"/>
        <a:stretch>
          <a:fillRect/>
        </a:stretch>
      </xdr:blipFill>
      <xdr:spPr>
        <a:xfrm>
          <a:off x="219075" y="21374100"/>
          <a:ext cx="5314950"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533400</xdr:colOff>
      <xdr:row>22</xdr:row>
      <xdr:rowOff>476250</xdr:rowOff>
    </xdr:from>
    <xdr:to>
      <xdr:col>19</xdr:col>
      <xdr:colOff>123825</xdr:colOff>
      <xdr:row>32</xdr:row>
      <xdr:rowOff>161925</xdr:rowOff>
    </xdr:to>
    <xdr:graphicFrame>
      <xdr:nvGraphicFramePr>
        <xdr:cNvPr id="1" name="Gráfico 1"/>
        <xdr:cNvGraphicFramePr/>
      </xdr:nvGraphicFramePr>
      <xdr:xfrm>
        <a:off x="12753975" y="5781675"/>
        <a:ext cx="4543425" cy="2743200"/>
      </xdr:xfrm>
      <a:graphic>
        <a:graphicData uri="http://schemas.openxmlformats.org/drawingml/2006/chart">
          <c:chart xmlns:c="http://schemas.openxmlformats.org/drawingml/2006/chart" r:id="rId1"/>
        </a:graphicData>
      </a:graphic>
    </xdr:graphicFrame>
    <xdr:clientData/>
  </xdr:twoCellAnchor>
  <xdr:twoCellAnchor>
    <xdr:from>
      <xdr:col>2</xdr:col>
      <xdr:colOff>4352925</xdr:colOff>
      <xdr:row>0</xdr:row>
      <xdr:rowOff>161925</xdr:rowOff>
    </xdr:from>
    <xdr:to>
      <xdr:col>2</xdr:col>
      <xdr:colOff>5010150</xdr:colOff>
      <xdr:row>5</xdr:row>
      <xdr:rowOff>133350</xdr:rowOff>
    </xdr:to>
    <xdr:pic>
      <xdr:nvPicPr>
        <xdr:cNvPr id="2" name="Imagem 2"/>
        <xdr:cNvPicPr preferRelativeResize="1">
          <a:picLocks noChangeAspect="1"/>
        </xdr:cNvPicPr>
      </xdr:nvPicPr>
      <xdr:blipFill>
        <a:blip r:embed="rId2"/>
        <a:stretch>
          <a:fillRect/>
        </a:stretch>
      </xdr:blipFill>
      <xdr:spPr>
        <a:xfrm>
          <a:off x="5638800" y="161925"/>
          <a:ext cx="657225" cy="923925"/>
        </a:xfrm>
        <a:prstGeom prst="rect">
          <a:avLst/>
        </a:prstGeom>
        <a:blipFill>
          <a:blip r:embed=""/>
          <a:srcRect/>
          <a:stretch>
            <a:fillRect/>
          </a:stretch>
        </a:blipFill>
        <a:ln w="9525" cmpd="sng">
          <a:noFill/>
        </a:ln>
      </xdr:spPr>
    </xdr:pic>
    <xdr:clientData/>
  </xdr:twoCellAnchor>
  <xdr:twoCellAnchor>
    <xdr:from>
      <xdr:col>0</xdr:col>
      <xdr:colOff>238125</xdr:colOff>
      <xdr:row>1</xdr:row>
      <xdr:rowOff>133350</xdr:rowOff>
    </xdr:from>
    <xdr:to>
      <xdr:col>2</xdr:col>
      <xdr:colOff>561975</xdr:colOff>
      <xdr:row>7</xdr:row>
      <xdr:rowOff>66675</xdr:rowOff>
    </xdr:to>
    <xdr:pic>
      <xdr:nvPicPr>
        <xdr:cNvPr id="3" name="Imagem 1"/>
        <xdr:cNvPicPr preferRelativeResize="1">
          <a:picLocks noChangeAspect="1"/>
        </xdr:cNvPicPr>
      </xdr:nvPicPr>
      <xdr:blipFill>
        <a:blip r:embed="rId3"/>
        <a:stretch>
          <a:fillRect/>
        </a:stretch>
      </xdr:blipFill>
      <xdr:spPr>
        <a:xfrm>
          <a:off x="238125" y="323850"/>
          <a:ext cx="1609725" cy="1076325"/>
        </a:xfrm>
        <a:prstGeom prst="rect">
          <a:avLst/>
        </a:prstGeom>
        <a:blipFill>
          <a:blip r:embed=""/>
          <a:srcRect/>
          <a:stretch>
            <a:fillRect/>
          </a:stretch>
        </a:blip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R&#199;AMENTO_%20Incendio-Satuba_11_05_2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ozart\cp\cp\4.%20SERVIDORES\RAFAEL\S&#227;o%20Miguel\C&#193;LCULO%20DO%20B.D.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ILHA UNIFICADA"/>
      <sheetName val="COMPOSIÇÕES"/>
    </sheetNames>
    <sheetDataSet>
      <sheetData sheetId="1">
        <row r="29">
          <cell r="F29">
            <v>1069.2</v>
          </cell>
        </row>
        <row r="35">
          <cell r="F35">
            <v>1069.2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DI 2014"/>
    </sheetNames>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187.17.2.135/orse/composicao.asp?font_sg_fonte=ORSE&amp;serv_nr_codigo=2172&amp;peri_nr_ano=2015&amp;peri_nr_mes=11&amp;peri_nr_ordem=1"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187.17.2.135/orse/composicao.asp?font_sg_fonte=ORSE&amp;serv_nr_codigo=2172&amp;peri_nr_ano=2015&amp;peri_nr_mes=11&amp;peri_nr_ordem=1" TargetMode="External" /><Relationship Id="rId2" Type="http://schemas.openxmlformats.org/officeDocument/2006/relationships/drawing" Target="../drawings/drawing2.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108"/>
  <sheetViews>
    <sheetView zoomScale="130" zoomScaleNormal="130" zoomScalePageLayoutView="0" workbookViewId="0" topLeftCell="A11">
      <selection activeCell="C26" sqref="C26"/>
    </sheetView>
  </sheetViews>
  <sheetFormatPr defaultColWidth="9.28125" defaultRowHeight="15"/>
  <cols>
    <col min="1" max="1" width="5.28125" style="0" customWidth="1"/>
    <col min="2" max="2" width="14.00390625" style="0" bestFit="1" customWidth="1"/>
    <col min="3" max="3" width="76.00390625" style="0" bestFit="1" customWidth="1"/>
    <col min="4" max="4" width="6.00390625" style="0" customWidth="1"/>
    <col min="5" max="5" width="8.421875" style="0" bestFit="1" customWidth="1"/>
    <col min="6" max="6" width="12.00390625" style="0" bestFit="1" customWidth="1"/>
    <col min="7" max="7" width="20.140625" style="0" customWidth="1"/>
    <col min="8" max="8" width="12.57421875" style="0" customWidth="1"/>
    <col min="9" max="9" width="12.00390625" style="0" customWidth="1"/>
    <col min="10" max="10" width="9.28125" style="0" customWidth="1"/>
    <col min="11" max="11" width="13.7109375" style="0" bestFit="1" customWidth="1"/>
    <col min="12" max="12" width="14.7109375" style="0" bestFit="1" customWidth="1"/>
  </cols>
  <sheetData>
    <row r="1" spans="1:7" ht="15.75">
      <c r="A1" s="447" t="s">
        <v>49</v>
      </c>
      <c r="B1" s="447"/>
      <c r="C1" s="447"/>
      <c r="D1" s="447"/>
      <c r="E1" s="447"/>
      <c r="F1" s="447"/>
      <c r="G1" s="447"/>
    </row>
    <row r="2" spans="1:7" ht="15.75">
      <c r="A2" s="448" t="s">
        <v>203</v>
      </c>
      <c r="B2" s="448"/>
      <c r="C2" s="448"/>
      <c r="D2" s="448"/>
      <c r="E2" s="448"/>
      <c r="F2" s="448"/>
      <c r="G2" s="448"/>
    </row>
    <row r="3" spans="1:7" ht="27.75" customHeight="1">
      <c r="A3" s="448" t="s">
        <v>204</v>
      </c>
      <c r="B3" s="448"/>
      <c r="C3" s="448"/>
      <c r="D3" s="448"/>
      <c r="E3" s="448"/>
      <c r="F3" s="448"/>
      <c r="G3" s="448"/>
    </row>
    <row r="4" spans="1:7" ht="27.75" customHeight="1">
      <c r="A4" s="449" t="s">
        <v>50</v>
      </c>
      <c r="B4" s="450"/>
      <c r="C4" s="451">
        <v>42430</v>
      </c>
      <c r="D4" s="451"/>
      <c r="E4" s="451"/>
      <c r="F4" s="451"/>
      <c r="G4" s="451"/>
    </row>
    <row r="5" spans="1:7" ht="31.5" customHeight="1" thickBot="1">
      <c r="A5" s="449" t="s">
        <v>51</v>
      </c>
      <c r="B5" s="450"/>
      <c r="C5" s="451">
        <v>42401</v>
      </c>
      <c r="D5" s="451"/>
      <c r="E5" s="451"/>
      <c r="F5" s="451"/>
      <c r="G5" s="451"/>
    </row>
    <row r="6" spans="1:7" ht="27" thickBot="1" thickTop="1">
      <c r="A6" s="45" t="s">
        <v>1</v>
      </c>
      <c r="B6" s="45" t="s">
        <v>2</v>
      </c>
      <c r="C6" s="45" t="s">
        <v>3</v>
      </c>
      <c r="D6" s="45" t="s">
        <v>4</v>
      </c>
      <c r="E6" s="45" t="s">
        <v>5</v>
      </c>
      <c r="F6" s="46" t="s">
        <v>7</v>
      </c>
      <c r="G6" s="47" t="s">
        <v>8</v>
      </c>
    </row>
    <row r="7" spans="1:8" ht="15.75" thickTop="1">
      <c r="A7" s="48">
        <v>1</v>
      </c>
      <c r="B7" s="49"/>
      <c r="C7" s="50" t="s">
        <v>52</v>
      </c>
      <c r="D7" s="49"/>
      <c r="E7" s="51"/>
      <c r="F7" s="49"/>
      <c r="G7" s="52">
        <f>SUM(G8:G17)</f>
        <v>42389.81999999999</v>
      </c>
      <c r="H7" s="125">
        <f>G7*1.2733</f>
        <v>53974.95780599999</v>
      </c>
    </row>
    <row r="8" spans="1:12" ht="15">
      <c r="A8" s="53" t="s">
        <v>9</v>
      </c>
      <c r="B8" s="54" t="s">
        <v>53</v>
      </c>
      <c r="C8" s="55" t="s">
        <v>54</v>
      </c>
      <c r="D8" s="56" t="s">
        <v>14</v>
      </c>
      <c r="E8" s="57">
        <v>8</v>
      </c>
      <c r="F8" s="58">
        <v>241.67</v>
      </c>
      <c r="G8" s="59">
        <f aca="true" t="shared" si="0" ref="G8:G17">E8*F8</f>
        <v>1933.36</v>
      </c>
      <c r="H8" t="s">
        <v>168</v>
      </c>
      <c r="J8" t="s">
        <v>168</v>
      </c>
      <c r="K8">
        <f>G8+(G9/4)+(G10/4)+(G11/4)+G12+G13+G14+G17+G16*0.4</f>
        <v>14303.640000000003</v>
      </c>
      <c r="L8" s="126">
        <f>K8*1.2733</f>
        <v>18212.824812000006</v>
      </c>
    </row>
    <row r="9" spans="1:12" ht="15">
      <c r="A9" s="146" t="s">
        <v>39</v>
      </c>
      <c r="B9" s="54" t="str">
        <f>'COMPOSIÇÕES IFAL'!A6</f>
        <v>IFAL 1</v>
      </c>
      <c r="C9" s="55" t="s">
        <v>55</v>
      </c>
      <c r="D9" s="67" t="s">
        <v>56</v>
      </c>
      <c r="E9" s="57">
        <v>1</v>
      </c>
      <c r="F9" s="58">
        <f>'COMPOSIÇÕES IFAL'!F12</f>
        <v>26824</v>
      </c>
      <c r="G9" s="68">
        <f t="shared" si="0"/>
        <v>26824</v>
      </c>
      <c r="H9" t="s">
        <v>170</v>
      </c>
      <c r="J9" t="s">
        <v>169</v>
      </c>
      <c r="K9">
        <f>(G9/4)+(G10/4)+(G11/4)+G16*0.4</f>
        <v>9637.599999999999</v>
      </c>
      <c r="L9" s="126">
        <f>K9*1.2733</f>
        <v>12271.556079999998</v>
      </c>
    </row>
    <row r="10" spans="1:12" ht="24">
      <c r="A10" s="53" t="s">
        <v>40</v>
      </c>
      <c r="B10" s="54" t="s">
        <v>57</v>
      </c>
      <c r="C10" s="60" t="s">
        <v>58</v>
      </c>
      <c r="D10" s="56" t="s">
        <v>59</v>
      </c>
      <c r="E10" s="57">
        <v>4</v>
      </c>
      <c r="F10" s="58">
        <v>570.31</v>
      </c>
      <c r="G10" s="59">
        <f t="shared" si="0"/>
        <v>2281.24</v>
      </c>
      <c r="H10" t="s">
        <v>170</v>
      </c>
      <c r="J10" t="s">
        <v>171</v>
      </c>
      <c r="K10">
        <f>G9/4+G10/4+G11/4+G16*0.2</f>
        <v>8843.199999999999</v>
      </c>
      <c r="L10" s="126">
        <f>K10*1.2733</f>
        <v>11260.046559999999</v>
      </c>
    </row>
    <row r="11" spans="1:12" ht="36">
      <c r="A11" s="53" t="s">
        <v>41</v>
      </c>
      <c r="B11" s="54" t="s">
        <v>60</v>
      </c>
      <c r="C11" s="60" t="s">
        <v>61</v>
      </c>
      <c r="D11" s="56" t="s">
        <v>59</v>
      </c>
      <c r="E11" s="57">
        <v>4</v>
      </c>
      <c r="F11" s="58">
        <v>772.49</v>
      </c>
      <c r="G11" s="59">
        <f t="shared" si="0"/>
        <v>3089.96</v>
      </c>
      <c r="H11" t="s">
        <v>170</v>
      </c>
      <c r="J11" t="s">
        <v>172</v>
      </c>
      <c r="K11">
        <f>G9/4+G10/4+G11/4+G15</f>
        <v>9605.38</v>
      </c>
      <c r="L11" s="126">
        <f>K11*1.2733</f>
        <v>12230.530354</v>
      </c>
    </row>
    <row r="12" spans="1:12" ht="24">
      <c r="A12" s="53" t="s">
        <v>42</v>
      </c>
      <c r="B12" s="90">
        <v>72840</v>
      </c>
      <c r="C12" s="60" t="s">
        <v>449</v>
      </c>
      <c r="D12" s="56" t="s">
        <v>62</v>
      </c>
      <c r="E12" s="57">
        <v>540</v>
      </c>
      <c r="F12" s="58">
        <v>0.44</v>
      </c>
      <c r="G12" s="59">
        <f t="shared" si="0"/>
        <v>237.6</v>
      </c>
      <c r="H12" t="s">
        <v>168</v>
      </c>
      <c r="L12" s="127">
        <f>SUM(L8:L11)</f>
        <v>53974.957806000006</v>
      </c>
    </row>
    <row r="13" spans="1:8" ht="15">
      <c r="A13" s="53" t="s">
        <v>43</v>
      </c>
      <c r="B13" s="54" t="str">
        <f>'COMPOSIÇÕES IFAL'!A15</f>
        <v>IFAL 2</v>
      </c>
      <c r="C13" s="41" t="s">
        <v>63</v>
      </c>
      <c r="D13" s="56" t="s">
        <v>10</v>
      </c>
      <c r="E13" s="57">
        <v>1</v>
      </c>
      <c r="F13" s="58">
        <f>'[1]COMPOSIÇÕES'!F29</f>
        <v>1069.2</v>
      </c>
      <c r="G13" s="59">
        <f t="shared" si="0"/>
        <v>1069.2</v>
      </c>
      <c r="H13" t="s">
        <v>168</v>
      </c>
    </row>
    <row r="14" spans="1:8" ht="15">
      <c r="A14" s="53" t="s">
        <v>64</v>
      </c>
      <c r="B14" s="54" t="str">
        <f>'COMPOSIÇÕES IFAL'!A20</f>
        <v>IFAL 3</v>
      </c>
      <c r="C14" s="41" t="s">
        <v>65</v>
      </c>
      <c r="D14" s="56" t="s">
        <v>10</v>
      </c>
      <c r="E14" s="57">
        <v>1</v>
      </c>
      <c r="F14" s="58">
        <f>'[1]COMPOSIÇÕES'!F35</f>
        <v>1069.2</v>
      </c>
      <c r="G14" s="59">
        <f t="shared" si="0"/>
        <v>1069.2</v>
      </c>
      <c r="H14" t="s">
        <v>168</v>
      </c>
    </row>
    <row r="15" spans="1:8" ht="15">
      <c r="A15" s="53" t="s">
        <v>44</v>
      </c>
      <c r="B15" s="54" t="str">
        <f>'COMPOSIÇÕES IFAL'!A25</f>
        <v>IFAL 4</v>
      </c>
      <c r="C15" s="41" t="s">
        <v>66</v>
      </c>
      <c r="D15" s="56" t="s">
        <v>10</v>
      </c>
      <c r="E15" s="57">
        <v>1</v>
      </c>
      <c r="F15" s="58">
        <f>'COMPOSIÇÕES IFAL'!F34</f>
        <v>1556.58</v>
      </c>
      <c r="G15" s="59">
        <f t="shared" si="0"/>
        <v>1556.58</v>
      </c>
      <c r="H15" t="s">
        <v>172</v>
      </c>
    </row>
    <row r="16" spans="1:10" ht="15">
      <c r="A16" s="53" t="s">
        <v>45</v>
      </c>
      <c r="B16" s="54" t="s">
        <v>275</v>
      </c>
      <c r="C16" s="41" t="s">
        <v>274</v>
      </c>
      <c r="D16" s="56" t="s">
        <v>277</v>
      </c>
      <c r="E16" s="57">
        <v>300</v>
      </c>
      <c r="F16" s="58">
        <v>13.24</v>
      </c>
      <c r="G16" s="59">
        <f t="shared" si="0"/>
        <v>3972</v>
      </c>
      <c r="H16" s="257" t="s">
        <v>278</v>
      </c>
      <c r="I16" s="257" t="s">
        <v>279</v>
      </c>
      <c r="J16" s="257" t="s">
        <v>280</v>
      </c>
    </row>
    <row r="17" spans="1:8" ht="15.75" thickBot="1">
      <c r="A17" s="53" t="s">
        <v>276</v>
      </c>
      <c r="B17" s="54" t="s">
        <v>67</v>
      </c>
      <c r="C17" s="42" t="s">
        <v>68</v>
      </c>
      <c r="D17" s="43" t="s">
        <v>10</v>
      </c>
      <c r="E17" s="57">
        <v>2</v>
      </c>
      <c r="F17" s="58">
        <v>178.34</v>
      </c>
      <c r="G17" s="59">
        <f t="shared" si="0"/>
        <v>356.68</v>
      </c>
      <c r="H17" t="s">
        <v>168</v>
      </c>
    </row>
    <row r="18" spans="1:8" ht="15.75" thickTop="1">
      <c r="A18" s="48">
        <v>2</v>
      </c>
      <c r="B18" s="49"/>
      <c r="C18" s="50" t="s">
        <v>69</v>
      </c>
      <c r="D18" s="49"/>
      <c r="E18" s="51"/>
      <c r="F18" s="49"/>
      <c r="G18" s="52">
        <f>SUM(G19:G27)</f>
        <v>52722.418</v>
      </c>
      <c r="H18" s="125">
        <f>G18*1.2733</f>
        <v>67131.4548394</v>
      </c>
    </row>
    <row r="19" spans="1:11" ht="36">
      <c r="A19" s="53" t="s">
        <v>48</v>
      </c>
      <c r="B19" s="54" t="s">
        <v>70</v>
      </c>
      <c r="C19" s="55" t="s">
        <v>71</v>
      </c>
      <c r="D19" s="56" t="s">
        <v>14</v>
      </c>
      <c r="E19" s="57">
        <v>841.6</v>
      </c>
      <c r="F19" s="58">
        <v>49.28</v>
      </c>
      <c r="G19" s="59">
        <f aca="true" t="shared" si="1" ref="G19:G27">E19*F19</f>
        <v>41474.048</v>
      </c>
      <c r="H19" t="s">
        <v>168</v>
      </c>
      <c r="J19" t="s">
        <v>168</v>
      </c>
      <c r="K19" s="125">
        <f>H18</f>
        <v>67131.4548394</v>
      </c>
    </row>
    <row r="20" spans="1:8" ht="15">
      <c r="A20" s="53" t="s">
        <v>72</v>
      </c>
      <c r="B20" s="61">
        <v>73616</v>
      </c>
      <c r="C20" s="55" t="s">
        <v>73</v>
      </c>
      <c r="D20" s="56" t="s">
        <v>74</v>
      </c>
      <c r="E20" s="57">
        <v>21</v>
      </c>
      <c r="F20" s="58">
        <v>154.33</v>
      </c>
      <c r="G20" s="59">
        <f t="shared" si="1"/>
        <v>3240.9300000000003</v>
      </c>
      <c r="H20" t="s">
        <v>168</v>
      </c>
    </row>
    <row r="21" spans="1:8" ht="15">
      <c r="A21" s="53" t="s">
        <v>75</v>
      </c>
      <c r="B21" s="61">
        <v>72238</v>
      </c>
      <c r="C21" s="55" t="s">
        <v>76</v>
      </c>
      <c r="D21" s="56" t="s">
        <v>14</v>
      </c>
      <c r="E21" s="57">
        <v>68</v>
      </c>
      <c r="F21" s="58">
        <v>4.69</v>
      </c>
      <c r="G21" s="59">
        <f t="shared" si="1"/>
        <v>318.92</v>
      </c>
      <c r="H21" t="s">
        <v>168</v>
      </c>
    </row>
    <row r="22" spans="1:8" ht="15">
      <c r="A22" s="53" t="s">
        <v>231</v>
      </c>
      <c r="B22" s="61">
        <v>72236</v>
      </c>
      <c r="C22" s="55" t="s">
        <v>77</v>
      </c>
      <c r="D22" s="56" t="s">
        <v>14</v>
      </c>
      <c r="E22" s="57">
        <v>35</v>
      </c>
      <c r="F22" s="58">
        <v>7.86</v>
      </c>
      <c r="G22" s="59">
        <f t="shared" si="1"/>
        <v>275.1</v>
      </c>
      <c r="H22" t="s">
        <v>168</v>
      </c>
    </row>
    <row r="23" spans="1:8" ht="15">
      <c r="A23" s="53" t="s">
        <v>232</v>
      </c>
      <c r="B23" s="61">
        <v>85372</v>
      </c>
      <c r="C23" s="55" t="s">
        <v>78</v>
      </c>
      <c r="D23" s="56" t="s">
        <v>14</v>
      </c>
      <c r="E23" s="57">
        <v>153</v>
      </c>
      <c r="F23" s="58">
        <v>1.58</v>
      </c>
      <c r="G23" s="59">
        <f t="shared" si="1"/>
        <v>241.74</v>
      </c>
      <c r="H23" t="s">
        <v>168</v>
      </c>
    </row>
    <row r="24" spans="1:8" ht="15">
      <c r="A24" s="53" t="s">
        <v>79</v>
      </c>
      <c r="B24" s="61" t="s">
        <v>384</v>
      </c>
      <c r="C24" s="269" t="s">
        <v>383</v>
      </c>
      <c r="D24" s="56" t="s">
        <v>14</v>
      </c>
      <c r="E24" s="57">
        <f>'Memória de cálculos'!D4</f>
        <v>201.39999999999998</v>
      </c>
      <c r="F24" s="58">
        <v>6.78</v>
      </c>
      <c r="G24" s="59">
        <f t="shared" si="1"/>
        <v>1365.492</v>
      </c>
      <c r="H24" t="s">
        <v>168</v>
      </c>
    </row>
    <row r="25" spans="1:8" ht="15">
      <c r="A25" s="53" t="s">
        <v>233</v>
      </c>
      <c r="B25" s="299" t="s">
        <v>295</v>
      </c>
      <c r="C25" s="312" t="s">
        <v>294</v>
      </c>
      <c r="D25" s="268" t="s">
        <v>13</v>
      </c>
      <c r="E25" s="57">
        <f>'Memória de cálculos'!D16</f>
        <v>63.400000000000006</v>
      </c>
      <c r="F25" s="58">
        <v>5.32</v>
      </c>
      <c r="G25" s="59">
        <f t="shared" si="1"/>
        <v>337.28800000000007</v>
      </c>
      <c r="H25" t="s">
        <v>168</v>
      </c>
    </row>
    <row r="26" spans="1:8" ht="15">
      <c r="A26" s="53" t="s">
        <v>296</v>
      </c>
      <c r="B26" s="62">
        <v>72897</v>
      </c>
      <c r="C26" s="55" t="s">
        <v>80</v>
      </c>
      <c r="D26" s="63" t="s">
        <v>74</v>
      </c>
      <c r="E26" s="57">
        <v>170</v>
      </c>
      <c r="F26" s="58">
        <v>15.17</v>
      </c>
      <c r="G26" s="59">
        <f t="shared" si="1"/>
        <v>2578.9</v>
      </c>
      <c r="H26" t="s">
        <v>168</v>
      </c>
    </row>
    <row r="27" spans="1:8" ht="15.75" thickBot="1">
      <c r="A27" s="53" t="s">
        <v>297</v>
      </c>
      <c r="B27" s="62">
        <v>72887</v>
      </c>
      <c r="C27" s="55" t="s">
        <v>81</v>
      </c>
      <c r="D27" s="63" t="s">
        <v>82</v>
      </c>
      <c r="E27" s="57">
        <f>E26*20</f>
        <v>3400</v>
      </c>
      <c r="F27" s="58">
        <v>0.85</v>
      </c>
      <c r="G27" s="59">
        <f t="shared" si="1"/>
        <v>2890</v>
      </c>
      <c r="H27" t="s">
        <v>168</v>
      </c>
    </row>
    <row r="28" spans="1:12" ht="15.75" thickTop="1">
      <c r="A28" s="48">
        <v>3</v>
      </c>
      <c r="B28" s="49"/>
      <c r="C28" s="50" t="s">
        <v>83</v>
      </c>
      <c r="D28" s="49"/>
      <c r="E28" s="51"/>
      <c r="F28" s="49"/>
      <c r="G28" s="52">
        <f>SUM(G29:G31)</f>
        <v>17906.524359999996</v>
      </c>
      <c r="H28" s="125">
        <f>G28*1.2733</f>
        <v>22800.377467587998</v>
      </c>
      <c r="L28" s="125">
        <f>SUM(L29:L31)</f>
        <v>22800.377467587998</v>
      </c>
    </row>
    <row r="29" spans="1:12" ht="15">
      <c r="A29" s="53" t="s">
        <v>84</v>
      </c>
      <c r="B29" s="61">
        <v>79478</v>
      </c>
      <c r="C29" s="55" t="s">
        <v>85</v>
      </c>
      <c r="D29" s="56" t="s">
        <v>74</v>
      </c>
      <c r="E29" s="57">
        <f>0.7*0.8*(243.55+118.95+112.87+93.97+95.65+44.57+23.66+27.66+94)</f>
        <v>478.73279999999994</v>
      </c>
      <c r="F29" s="58">
        <v>30.95</v>
      </c>
      <c r="G29" s="59">
        <f>E29*F29</f>
        <v>14816.780159999998</v>
      </c>
      <c r="H29" t="s">
        <v>271</v>
      </c>
      <c r="J29" t="s">
        <v>168</v>
      </c>
      <c r="K29" s="125">
        <f>G29/2+G30/2</f>
        <v>8849.587179999999</v>
      </c>
      <c r="L29" s="125">
        <f>K29*1.2733</f>
        <v>11268.179356293998</v>
      </c>
    </row>
    <row r="30" spans="1:12" ht="15">
      <c r="A30" s="146" t="s">
        <v>86</v>
      </c>
      <c r="B30" s="61">
        <v>79488</v>
      </c>
      <c r="C30" s="55" t="s">
        <v>269</v>
      </c>
      <c r="D30" s="67" t="s">
        <v>74</v>
      </c>
      <c r="E30" s="57">
        <f>'Memória de cálculos'!D19</f>
        <v>484.43600000000004</v>
      </c>
      <c r="F30" s="58">
        <v>5.95</v>
      </c>
      <c r="G30" s="68">
        <f>E30*F30</f>
        <v>2882.3942</v>
      </c>
      <c r="H30" t="s">
        <v>271</v>
      </c>
      <c r="I30" s="253"/>
      <c r="J30" s="253" t="s">
        <v>169</v>
      </c>
      <c r="K30" s="254">
        <f>G29/2+G30/2</f>
        <v>8849.587179999999</v>
      </c>
      <c r="L30" s="125">
        <f>K30*1.2733</f>
        <v>11268.179356293998</v>
      </c>
    </row>
    <row r="31" spans="1:12" ht="24.75" thickBot="1">
      <c r="A31" s="53" t="s">
        <v>240</v>
      </c>
      <c r="B31" s="54" t="s">
        <v>87</v>
      </c>
      <c r="C31" s="55" t="s">
        <v>127</v>
      </c>
      <c r="D31" s="56" t="s">
        <v>14</v>
      </c>
      <c r="E31" s="57">
        <f>'Memória de cálculos'!D50</f>
        <v>6.5</v>
      </c>
      <c r="F31" s="58">
        <v>31.9</v>
      </c>
      <c r="G31" s="59">
        <f>E31*F31</f>
        <v>207.35</v>
      </c>
      <c r="H31" s="253" t="s">
        <v>171</v>
      </c>
      <c r="I31" s="253"/>
      <c r="J31" s="253" t="s">
        <v>171</v>
      </c>
      <c r="K31" s="255">
        <f>G31</f>
        <v>207.35</v>
      </c>
      <c r="L31" s="125">
        <f>K31*1.2733</f>
        <v>264.018755</v>
      </c>
    </row>
    <row r="32" spans="1:11" ht="15.75" thickTop="1">
      <c r="A32" s="48">
        <v>4</v>
      </c>
      <c r="B32" s="49"/>
      <c r="C32" s="50" t="s">
        <v>356</v>
      </c>
      <c r="D32" s="49"/>
      <c r="E32" s="51"/>
      <c r="F32" s="49"/>
      <c r="G32" s="52">
        <f>SUM(G33:G36)</f>
        <v>37372.11244</v>
      </c>
      <c r="H32" s="125">
        <f>G32*1.2733</f>
        <v>47585.910769852</v>
      </c>
      <c r="I32" s="253"/>
      <c r="J32" s="253"/>
      <c r="K32" s="255"/>
    </row>
    <row r="33" spans="1:12" ht="15">
      <c r="A33" s="53" t="s">
        <v>89</v>
      </c>
      <c r="B33" s="61" t="s">
        <v>367</v>
      </c>
      <c r="C33" s="278" t="s">
        <v>357</v>
      </c>
      <c r="D33" s="279" t="s">
        <v>338</v>
      </c>
      <c r="E33" s="57">
        <f>'Memória de cálculos'!D22</f>
        <v>1.076</v>
      </c>
      <c r="F33" s="58">
        <v>312.74</v>
      </c>
      <c r="G33" s="59">
        <f>E33*F33</f>
        <v>336.50824000000006</v>
      </c>
      <c r="H33" s="253" t="s">
        <v>169</v>
      </c>
      <c r="I33" s="253"/>
      <c r="J33" s="253" t="s">
        <v>169</v>
      </c>
      <c r="K33" s="255">
        <f>G33+G34</f>
        <v>3623.5244400000006</v>
      </c>
      <c r="L33" s="125">
        <f>K33*1.2733</f>
        <v>4613.833669452001</v>
      </c>
    </row>
    <row r="34" spans="1:12" ht="22.5">
      <c r="A34" s="53" t="s">
        <v>358</v>
      </c>
      <c r="B34" s="61" t="str">
        <f>'COMPOSIÇÕES IFAL'!A206</f>
        <v>IFAL 18</v>
      </c>
      <c r="C34" s="278" t="s">
        <v>359</v>
      </c>
      <c r="D34" s="280" t="s">
        <v>14</v>
      </c>
      <c r="E34" s="57">
        <f>'Memória de cálculos'!D25</f>
        <v>205.39999999999998</v>
      </c>
      <c r="F34" s="58">
        <f>'COMPOSIÇÕES IFAL'!F214</f>
        <v>16.003000000000004</v>
      </c>
      <c r="G34" s="68">
        <f>E34*F34</f>
        <v>3287.0162000000005</v>
      </c>
      <c r="H34" s="253" t="s">
        <v>169</v>
      </c>
      <c r="I34" s="253"/>
      <c r="J34" s="253" t="s">
        <v>171</v>
      </c>
      <c r="K34" s="255">
        <f>G35+G36</f>
        <v>33748.587999999996</v>
      </c>
      <c r="L34" s="125">
        <f>K34*1.2733</f>
        <v>42972.0771004</v>
      </c>
    </row>
    <row r="35" spans="1:12" ht="33.75">
      <c r="A35" s="53" t="s">
        <v>92</v>
      </c>
      <c r="B35" s="61" t="s">
        <v>372</v>
      </c>
      <c r="C35" s="278" t="s">
        <v>371</v>
      </c>
      <c r="D35" s="280" t="s">
        <v>14</v>
      </c>
      <c r="E35" s="57">
        <f>'Memória de cálculos'!D38</f>
        <v>201.39999999999998</v>
      </c>
      <c r="F35" s="58">
        <v>167.22</v>
      </c>
      <c r="G35" s="68">
        <f>E35*F35</f>
        <v>33678.10799999999</v>
      </c>
      <c r="H35" s="253" t="s">
        <v>171</v>
      </c>
      <c r="I35" s="253"/>
      <c r="J35" s="253"/>
      <c r="K35" s="255"/>
      <c r="L35" s="125">
        <f>SUM(L33:L34)</f>
        <v>47585.910769852</v>
      </c>
    </row>
    <row r="36" spans="1:11" ht="15.75" thickBot="1">
      <c r="A36" s="53" t="s">
        <v>94</v>
      </c>
      <c r="B36" s="54" t="s">
        <v>437</v>
      </c>
      <c r="C36" s="344" t="s">
        <v>436</v>
      </c>
      <c r="D36" s="56" t="s">
        <v>14</v>
      </c>
      <c r="E36" s="57">
        <f>'Memória de cálculos'!D39</f>
        <v>4</v>
      </c>
      <c r="F36" s="58">
        <v>17.62</v>
      </c>
      <c r="G36" s="68">
        <f>E36*F36</f>
        <v>70.48</v>
      </c>
      <c r="H36" s="253" t="s">
        <v>171</v>
      </c>
      <c r="I36" s="253"/>
      <c r="J36" s="253"/>
      <c r="K36" s="255"/>
    </row>
    <row r="37" spans="1:11" ht="15.75" thickTop="1">
      <c r="A37" s="48">
        <v>5</v>
      </c>
      <c r="B37" s="49"/>
      <c r="C37" s="50" t="s">
        <v>390</v>
      </c>
      <c r="D37" s="49"/>
      <c r="E37" s="51"/>
      <c r="F37" s="49"/>
      <c r="G37" s="52">
        <f>SUM(G38:G39)</f>
        <v>336.2694</v>
      </c>
      <c r="H37" s="125">
        <f>G37*1.2733</f>
        <v>428.1718270200001</v>
      </c>
      <c r="I37" s="253"/>
      <c r="J37" s="253"/>
      <c r="K37" s="255"/>
    </row>
    <row r="38" spans="1:11" ht="22.5">
      <c r="A38" s="53" t="s">
        <v>98</v>
      </c>
      <c r="B38" s="310">
        <v>73361</v>
      </c>
      <c r="C38" s="278" t="s">
        <v>391</v>
      </c>
      <c r="D38" s="280" t="s">
        <v>74</v>
      </c>
      <c r="E38" s="57">
        <f>'Memória de cálculos'!D53</f>
        <v>0.48</v>
      </c>
      <c r="F38" s="58">
        <v>322.22</v>
      </c>
      <c r="G38" s="59">
        <f>E38*F38</f>
        <v>154.6656</v>
      </c>
      <c r="H38" s="253" t="s">
        <v>169</v>
      </c>
      <c r="I38" s="253"/>
      <c r="J38" s="253"/>
      <c r="K38" s="255"/>
    </row>
    <row r="39" spans="1:11" ht="23.25" thickBot="1">
      <c r="A39" s="53" t="s">
        <v>101</v>
      </c>
      <c r="B39" s="310">
        <v>87504</v>
      </c>
      <c r="C39" s="278" t="s">
        <v>392</v>
      </c>
      <c r="D39" s="280" t="s">
        <v>14</v>
      </c>
      <c r="E39" s="57">
        <f>'Memória de cálculos'!D55</f>
        <v>4.41</v>
      </c>
      <c r="F39" s="58">
        <v>41.18</v>
      </c>
      <c r="G39" s="68">
        <f>E39*F39</f>
        <v>181.6038</v>
      </c>
      <c r="H39" s="253" t="s">
        <v>169</v>
      </c>
      <c r="I39" s="253"/>
      <c r="J39" s="253"/>
      <c r="K39" s="255"/>
    </row>
    <row r="40" spans="1:12" ht="15.75" thickTop="1">
      <c r="A40" s="48">
        <v>6</v>
      </c>
      <c r="B40" s="49"/>
      <c r="C40" s="50" t="s">
        <v>88</v>
      </c>
      <c r="D40" s="49"/>
      <c r="E40" s="51"/>
      <c r="F40" s="49"/>
      <c r="G40" s="52">
        <f>SUM(G41:G43)</f>
        <v>38238.16</v>
      </c>
      <c r="H40" s="125">
        <f>G40*1.2733</f>
        <v>48688.64912800001</v>
      </c>
      <c r="J40" t="s">
        <v>169</v>
      </c>
      <c r="K40" s="126">
        <f>G41/2</f>
        <v>12323.4</v>
      </c>
      <c r="L40" s="125">
        <f>K40*1.2733</f>
        <v>15691.38522</v>
      </c>
    </row>
    <row r="41" spans="1:12" ht="24">
      <c r="A41" s="53" t="s">
        <v>104</v>
      </c>
      <c r="B41" s="64" t="s">
        <v>234</v>
      </c>
      <c r="C41" s="65" t="s">
        <v>90</v>
      </c>
      <c r="D41" s="56" t="s">
        <v>91</v>
      </c>
      <c r="E41" s="57">
        <f>172+12</f>
        <v>184</v>
      </c>
      <c r="F41" s="58">
        <v>133.95</v>
      </c>
      <c r="G41" s="59">
        <f>E41*F41</f>
        <v>24646.8</v>
      </c>
      <c r="H41" t="s">
        <v>173</v>
      </c>
      <c r="J41" t="s">
        <v>171</v>
      </c>
      <c r="K41" s="127">
        <f>G41/2</f>
        <v>12323.4</v>
      </c>
      <c r="L41" s="125">
        <f>K41*1.2733</f>
        <v>15691.38522</v>
      </c>
    </row>
    <row r="42" spans="1:12" ht="15">
      <c r="A42" s="53" t="s">
        <v>105</v>
      </c>
      <c r="B42" s="66" t="s">
        <v>218</v>
      </c>
      <c r="C42" s="65" t="s">
        <v>219</v>
      </c>
      <c r="D42" s="67" t="s">
        <v>93</v>
      </c>
      <c r="E42" s="57">
        <v>172</v>
      </c>
      <c r="F42" s="58">
        <v>49.6</v>
      </c>
      <c r="G42" s="68">
        <f>E42*F42</f>
        <v>8531.2</v>
      </c>
      <c r="H42" t="s">
        <v>172</v>
      </c>
      <c r="J42" t="s">
        <v>172</v>
      </c>
      <c r="K42" s="128">
        <f>G42+G43</f>
        <v>13591.36</v>
      </c>
      <c r="L42" s="125">
        <f>K42*1.2733</f>
        <v>17305.878688</v>
      </c>
    </row>
    <row r="43" spans="1:12" ht="15.75" thickBot="1">
      <c r="A43" s="53" t="s">
        <v>106</v>
      </c>
      <c r="B43" s="66" t="s">
        <v>95</v>
      </c>
      <c r="C43" s="69" t="s">
        <v>128</v>
      </c>
      <c r="D43" s="86" t="s">
        <v>96</v>
      </c>
      <c r="E43" s="87">
        <v>12</v>
      </c>
      <c r="F43" s="58">
        <v>421.68</v>
      </c>
      <c r="G43" s="68">
        <f>E43*F43</f>
        <v>5060.16</v>
      </c>
      <c r="H43" t="s">
        <v>172</v>
      </c>
      <c r="L43" s="125">
        <f>SUM(L40:L42)</f>
        <v>48688.649128000005</v>
      </c>
    </row>
    <row r="44" spans="1:12" ht="15.75" thickTop="1">
      <c r="A44" s="48">
        <v>7</v>
      </c>
      <c r="B44" s="49"/>
      <c r="C44" s="50" t="s">
        <v>298</v>
      </c>
      <c r="D44" s="49"/>
      <c r="E44" s="51"/>
      <c r="F44" s="49"/>
      <c r="G44" s="52">
        <f>SUM(G45:G47)</f>
        <v>14811.669859999996</v>
      </c>
      <c r="H44" s="125">
        <f>G44*1.2733</f>
        <v>18859.699232737996</v>
      </c>
      <c r="L44" s="125"/>
    </row>
    <row r="45" spans="1:12" ht="24">
      <c r="A45" s="53" t="s">
        <v>116</v>
      </c>
      <c r="B45" s="299" t="s">
        <v>351</v>
      </c>
      <c r="C45" s="300" t="s">
        <v>352</v>
      </c>
      <c r="D45" s="302" t="s">
        <v>299</v>
      </c>
      <c r="E45" s="57">
        <v>1</v>
      </c>
      <c r="F45" s="58">
        <f>'COMPOSIÇÕES IFAL'!F186</f>
        <v>12179.289859999997</v>
      </c>
      <c r="G45" s="59">
        <f>E45*F45</f>
        <v>12179.289859999997</v>
      </c>
      <c r="H45" s="253" t="s">
        <v>169</v>
      </c>
      <c r="J45" t="s">
        <v>168</v>
      </c>
      <c r="K45" s="128">
        <f>G45+G46</f>
        <v>13281.179859999997</v>
      </c>
      <c r="L45" s="125">
        <f>K45*1.2733</f>
        <v>16910.926315737997</v>
      </c>
    </row>
    <row r="46" spans="1:12" ht="24">
      <c r="A46" s="53" t="s">
        <v>117</v>
      </c>
      <c r="B46" s="299" t="s">
        <v>360</v>
      </c>
      <c r="C46" s="300" t="s">
        <v>361</v>
      </c>
      <c r="D46" s="223" t="s">
        <v>10</v>
      </c>
      <c r="E46" s="301">
        <v>1</v>
      </c>
      <c r="F46" s="58">
        <f>'COMPOSIÇÕES IFAL'!F195</f>
        <v>1101.89</v>
      </c>
      <c r="G46" s="68">
        <f>E46*F46</f>
        <v>1101.89</v>
      </c>
      <c r="H46" s="253" t="s">
        <v>169</v>
      </c>
      <c r="J46" s="253" t="s">
        <v>169</v>
      </c>
      <c r="K46" s="127">
        <f>G47</f>
        <v>1530.4900000000002</v>
      </c>
      <c r="L46" s="125">
        <f>K46*1.2733</f>
        <v>1948.7729170000005</v>
      </c>
    </row>
    <row r="47" spans="1:12" ht="15.75" thickBot="1">
      <c r="A47" s="53" t="s">
        <v>157</v>
      </c>
      <c r="B47" s="299" t="s">
        <v>365</v>
      </c>
      <c r="C47" s="300" t="s">
        <v>355</v>
      </c>
      <c r="D47" s="223" t="s">
        <v>16</v>
      </c>
      <c r="E47" s="301">
        <v>1</v>
      </c>
      <c r="F47" s="58">
        <f>'COMPOSIÇÕES IFAL'!F204</f>
        <v>1530.4900000000002</v>
      </c>
      <c r="G47" s="68">
        <f>E47*F47</f>
        <v>1530.4900000000002</v>
      </c>
      <c r="H47" t="s">
        <v>168</v>
      </c>
      <c r="L47" s="125"/>
    </row>
    <row r="48" spans="1:9" ht="15.75" thickTop="1">
      <c r="A48" s="48">
        <v>8</v>
      </c>
      <c r="B48" s="49"/>
      <c r="C48" s="50" t="s">
        <v>97</v>
      </c>
      <c r="D48" s="49"/>
      <c r="E48" s="51"/>
      <c r="F48" s="49"/>
      <c r="G48" s="52">
        <f>SUM(G49:G57)</f>
        <v>81336.09999999999</v>
      </c>
      <c r="H48" s="125">
        <f>G48*1.2733</f>
        <v>103565.25613</v>
      </c>
      <c r="I48" s="125"/>
    </row>
    <row r="49" spans="1:12" ht="15">
      <c r="A49" s="209" t="s">
        <v>122</v>
      </c>
      <c r="B49" s="188" t="s">
        <v>99</v>
      </c>
      <c r="C49" s="189" t="s">
        <v>100</v>
      </c>
      <c r="D49" s="190" t="s">
        <v>93</v>
      </c>
      <c r="E49" s="191">
        <v>102</v>
      </c>
      <c r="F49" s="192">
        <v>149.36</v>
      </c>
      <c r="G49" s="193">
        <f>E49*F49</f>
        <v>15234.720000000001</v>
      </c>
      <c r="H49" t="s">
        <v>172</v>
      </c>
      <c r="J49" t="s">
        <v>169</v>
      </c>
      <c r="K49" s="125">
        <f>G50/2+G51/2+G52/2+G53/2+G54/2</f>
        <v>26840.260000000002</v>
      </c>
      <c r="L49" s="125">
        <f>K49*1.2733</f>
        <v>34175.70305800001</v>
      </c>
    </row>
    <row r="50" spans="1:12" ht="36">
      <c r="A50" s="209" t="s">
        <v>126</v>
      </c>
      <c r="B50" s="227" t="s">
        <v>235</v>
      </c>
      <c r="C50" s="213" t="s">
        <v>239</v>
      </c>
      <c r="D50" s="190" t="s">
        <v>13</v>
      </c>
      <c r="E50" s="191">
        <v>1300</v>
      </c>
      <c r="F50" s="192">
        <f>'COMPOSIÇÕES IFAL'!F123</f>
        <v>16.422800000000002</v>
      </c>
      <c r="G50" s="193">
        <f>E50*F50</f>
        <v>21349.640000000003</v>
      </c>
      <c r="H50" t="s">
        <v>173</v>
      </c>
      <c r="J50" t="s">
        <v>171</v>
      </c>
      <c r="K50">
        <f>G50/2+G51/2+G52/2+G53/2+G54/2</f>
        <v>26840.260000000002</v>
      </c>
      <c r="L50" s="125">
        <f>K50*1.2733</f>
        <v>34175.70305800001</v>
      </c>
    </row>
    <row r="51" spans="1:12" ht="15">
      <c r="A51" s="209" t="s">
        <v>208</v>
      </c>
      <c r="B51" s="195" t="s">
        <v>241</v>
      </c>
      <c r="C51" s="196" t="s">
        <v>102</v>
      </c>
      <c r="D51" s="197" t="s">
        <v>93</v>
      </c>
      <c r="E51" s="198">
        <v>117</v>
      </c>
      <c r="F51" s="199">
        <v>14.82</v>
      </c>
      <c r="G51" s="200">
        <f aca="true" t="shared" si="2" ref="G51:G57">E51*F51</f>
        <v>1733.94</v>
      </c>
      <c r="H51" t="s">
        <v>173</v>
      </c>
      <c r="J51" t="s">
        <v>172</v>
      </c>
      <c r="K51" s="128">
        <f>G49+G55+G56+G57</f>
        <v>27655.58</v>
      </c>
      <c r="L51" s="125">
        <f>K51*1.2733</f>
        <v>35213.850014</v>
      </c>
    </row>
    <row r="52" spans="1:12" ht="24.75">
      <c r="A52" s="209" t="s">
        <v>212</v>
      </c>
      <c r="B52" s="201">
        <v>72308</v>
      </c>
      <c r="C52" s="226" t="s">
        <v>242</v>
      </c>
      <c r="D52" s="201" t="s">
        <v>13</v>
      </c>
      <c r="E52" s="203">
        <v>1068</v>
      </c>
      <c r="F52" s="204">
        <v>21.24</v>
      </c>
      <c r="G52" s="200">
        <f t="shared" si="2"/>
        <v>22684.32</v>
      </c>
      <c r="H52" t="s">
        <v>173</v>
      </c>
      <c r="L52" s="229">
        <f>SUM(L49:L51)</f>
        <v>103565.25613000002</v>
      </c>
    </row>
    <row r="53" spans="1:8" ht="15">
      <c r="A53" s="209" t="s">
        <v>393</v>
      </c>
      <c r="B53" s="205" t="s">
        <v>216</v>
      </c>
      <c r="C53" s="228" t="s">
        <v>217</v>
      </c>
      <c r="D53" s="194" t="s">
        <v>13</v>
      </c>
      <c r="E53" s="191">
        <v>1200</v>
      </c>
      <c r="F53" s="206">
        <v>5.29</v>
      </c>
      <c r="G53" s="200">
        <f>ROUND(E53*F53,2)</f>
        <v>6348</v>
      </c>
      <c r="H53" t="s">
        <v>173</v>
      </c>
    </row>
    <row r="54" spans="1:8" ht="15">
      <c r="A54" s="209" t="s">
        <v>399</v>
      </c>
      <c r="B54" s="201" t="s">
        <v>397</v>
      </c>
      <c r="C54" s="202" t="s">
        <v>243</v>
      </c>
      <c r="D54" s="201" t="s">
        <v>93</v>
      </c>
      <c r="E54" s="203">
        <v>534</v>
      </c>
      <c r="F54" s="204">
        <v>2.93</v>
      </c>
      <c r="G54" s="200">
        <f t="shared" si="2"/>
        <v>1564.6200000000001</v>
      </c>
      <c r="H54" t="s">
        <v>173</v>
      </c>
    </row>
    <row r="55" spans="1:8" ht="24">
      <c r="A55" s="209" t="s">
        <v>400</v>
      </c>
      <c r="B55" s="197" t="str">
        <f>'COMPOSIÇÕES IFAL'!A36</f>
        <v>IFAL 5</v>
      </c>
      <c r="C55" s="207" t="s">
        <v>205</v>
      </c>
      <c r="D55" s="194" t="s">
        <v>93</v>
      </c>
      <c r="E55" s="191">
        <v>1</v>
      </c>
      <c r="F55" s="192">
        <f>'COMPOSIÇÕES IFAL'!F43</f>
        <v>2033.5600000000002</v>
      </c>
      <c r="G55" s="200">
        <f t="shared" si="2"/>
        <v>2033.5600000000002</v>
      </c>
      <c r="H55" t="s">
        <v>172</v>
      </c>
    </row>
    <row r="56" spans="1:8" ht="24">
      <c r="A56" s="209" t="s">
        <v>401</v>
      </c>
      <c r="B56" s="197" t="s">
        <v>220</v>
      </c>
      <c r="C56" s="207" t="s">
        <v>206</v>
      </c>
      <c r="D56" s="194" t="s">
        <v>93</v>
      </c>
      <c r="E56" s="191">
        <v>35</v>
      </c>
      <c r="F56" s="192">
        <v>101.5</v>
      </c>
      <c r="G56" s="200">
        <f t="shared" si="2"/>
        <v>3552.5</v>
      </c>
      <c r="H56" t="s">
        <v>172</v>
      </c>
    </row>
    <row r="57" spans="1:8" ht="15">
      <c r="A57" s="209" t="s">
        <v>402</v>
      </c>
      <c r="B57" s="197" t="str">
        <f>'COMPOSIÇÕES IFAL'!A45</f>
        <v>IFAL 6</v>
      </c>
      <c r="C57" s="207" t="s">
        <v>156</v>
      </c>
      <c r="D57" s="194" t="s">
        <v>93</v>
      </c>
      <c r="E57" s="191">
        <v>35</v>
      </c>
      <c r="F57" s="192">
        <f>'COMPOSIÇÕES IFAL'!F52</f>
        <v>195.28</v>
      </c>
      <c r="G57" s="200">
        <f t="shared" si="2"/>
        <v>6834.8</v>
      </c>
      <c r="H57" t="s">
        <v>172</v>
      </c>
    </row>
    <row r="58" spans="1:8" ht="15">
      <c r="A58" s="208">
        <v>9</v>
      </c>
      <c r="B58" s="184"/>
      <c r="C58" s="185" t="s">
        <v>103</v>
      </c>
      <c r="D58" s="184"/>
      <c r="E58" s="186"/>
      <c r="F58" s="184"/>
      <c r="G58" s="187">
        <f>SUM(G59:G77)</f>
        <v>169530.44573</v>
      </c>
      <c r="H58" s="125">
        <f>G58*1.2733</f>
        <v>215863.116548009</v>
      </c>
    </row>
    <row r="59" spans="1:12" ht="24">
      <c r="A59" s="146" t="s">
        <v>133</v>
      </c>
      <c r="B59" s="73" t="s">
        <v>225</v>
      </c>
      <c r="C59" s="74" t="s">
        <v>224</v>
      </c>
      <c r="D59" s="79" t="s">
        <v>93</v>
      </c>
      <c r="E59" s="183">
        <v>2</v>
      </c>
      <c r="F59" s="76">
        <f>'COMPOSIÇÕES IFAL'!F102</f>
        <v>1552.67</v>
      </c>
      <c r="G59" s="59">
        <f aca="true" t="shared" si="3" ref="G59:G64">E59*F59</f>
        <v>3105.34</v>
      </c>
      <c r="H59" t="s">
        <v>171</v>
      </c>
      <c r="K59" s="128"/>
      <c r="L59" s="126"/>
    </row>
    <row r="60" spans="1:12" ht="38.25">
      <c r="A60" s="146" t="s">
        <v>182</v>
      </c>
      <c r="B60" s="78" t="s">
        <v>281</v>
      </c>
      <c r="C60" s="259" t="s">
        <v>244</v>
      </c>
      <c r="D60" s="79" t="s">
        <v>93</v>
      </c>
      <c r="E60" s="80">
        <v>2</v>
      </c>
      <c r="F60" s="258">
        <f>'COMPOSIÇÕES IFAL'!F153</f>
        <v>11129</v>
      </c>
      <c r="G60" s="59">
        <f t="shared" si="3"/>
        <v>22258</v>
      </c>
      <c r="H60" t="s">
        <v>171</v>
      </c>
      <c r="J60" t="s">
        <v>168</v>
      </c>
      <c r="K60" s="128">
        <f>(G61*0.3)+(G62*0.3)</f>
        <v>29713.191</v>
      </c>
      <c r="L60" s="125">
        <f>K60*1.2733</f>
        <v>37833.806100300004</v>
      </c>
    </row>
    <row r="61" spans="1:12" ht="24">
      <c r="A61" s="146" t="s">
        <v>183</v>
      </c>
      <c r="B61" s="314" t="s">
        <v>398</v>
      </c>
      <c r="C61" s="315" t="s">
        <v>245</v>
      </c>
      <c r="D61" s="316" t="s">
        <v>13</v>
      </c>
      <c r="E61" s="317">
        <v>959</v>
      </c>
      <c r="F61" s="318">
        <v>55.54</v>
      </c>
      <c r="G61" s="319">
        <f t="shared" si="3"/>
        <v>53262.86</v>
      </c>
      <c r="H61" t="s">
        <v>271</v>
      </c>
      <c r="J61" t="s">
        <v>169</v>
      </c>
      <c r="K61" s="128">
        <f>(G61*0.7)+(G62*0.7)</f>
        <v>69330.779</v>
      </c>
      <c r="L61" s="125">
        <f>K61*1.2733</f>
        <v>88278.8809007</v>
      </c>
    </row>
    <row r="62" spans="1:12" ht="24">
      <c r="A62" s="146" t="s">
        <v>184</v>
      </c>
      <c r="B62" s="73" t="s">
        <v>246</v>
      </c>
      <c r="C62" s="74" t="s">
        <v>270</v>
      </c>
      <c r="D62" s="75" t="s">
        <v>13</v>
      </c>
      <c r="E62" s="183">
        <v>269</v>
      </c>
      <c r="F62" s="76">
        <v>170.19</v>
      </c>
      <c r="G62" s="59">
        <f t="shared" si="3"/>
        <v>45781.11</v>
      </c>
      <c r="H62" t="s">
        <v>271</v>
      </c>
      <c r="J62" t="s">
        <v>171</v>
      </c>
      <c r="K62" s="128">
        <f>G64+G60+G70+G71+G72+G73+G74+G75+G77+G76+G59</f>
        <v>35300.25023</v>
      </c>
      <c r="L62" s="125">
        <f>K62*1.2733</f>
        <v>44947.808617859</v>
      </c>
    </row>
    <row r="63" spans="1:12" ht="24.75">
      <c r="A63" s="146" t="s">
        <v>185</v>
      </c>
      <c r="B63" s="64" t="str">
        <f>'COMPOSIÇÕES IFAL'!A54</f>
        <v>IFAL 7</v>
      </c>
      <c r="C63" s="77" t="s">
        <v>143</v>
      </c>
      <c r="D63" s="67" t="s">
        <v>93</v>
      </c>
      <c r="E63" s="57">
        <v>2</v>
      </c>
      <c r="F63" s="58">
        <f>'COMPOSIÇÕES IFAL'!F62</f>
        <v>3960.76</v>
      </c>
      <c r="G63" s="59">
        <f t="shared" si="3"/>
        <v>7921.52</v>
      </c>
      <c r="H63" t="s">
        <v>172</v>
      </c>
      <c r="J63" t="s">
        <v>172</v>
      </c>
      <c r="K63" s="128">
        <f>G63+G66+G67+G68+G69+G65</f>
        <v>35186.2255</v>
      </c>
      <c r="L63" s="125">
        <f>K63*1.2733</f>
        <v>44802.620929150005</v>
      </c>
    </row>
    <row r="64" spans="1:12" ht="15">
      <c r="A64" s="146" t="s">
        <v>403</v>
      </c>
      <c r="B64" s="66" t="s">
        <v>107</v>
      </c>
      <c r="C64" s="44" t="s">
        <v>108</v>
      </c>
      <c r="D64" s="67" t="s">
        <v>93</v>
      </c>
      <c r="E64" s="57">
        <v>2</v>
      </c>
      <c r="F64" s="58">
        <v>2953.46</v>
      </c>
      <c r="G64" s="59">
        <f t="shared" si="3"/>
        <v>5906.92</v>
      </c>
      <c r="H64" t="s">
        <v>171</v>
      </c>
      <c r="L64" s="127">
        <f>SUM(L59:L63)</f>
        <v>215863.116548009</v>
      </c>
    </row>
    <row r="65" spans="1:8" ht="24">
      <c r="A65" s="146" t="s">
        <v>404</v>
      </c>
      <c r="B65" s="66" t="s">
        <v>29</v>
      </c>
      <c r="C65" s="65" t="s">
        <v>129</v>
      </c>
      <c r="D65" s="67" t="s">
        <v>14</v>
      </c>
      <c r="E65" s="57">
        <v>7.35</v>
      </c>
      <c r="F65" s="58">
        <v>12.73</v>
      </c>
      <c r="G65" s="68">
        <f aca="true" t="shared" si="4" ref="G65:G77">E65*F65</f>
        <v>93.5655</v>
      </c>
      <c r="H65" t="s">
        <v>172</v>
      </c>
    </row>
    <row r="66" spans="1:8" ht="36">
      <c r="A66" s="146" t="s">
        <v>405</v>
      </c>
      <c r="B66" s="66">
        <v>72288</v>
      </c>
      <c r="C66" s="65" t="s">
        <v>247</v>
      </c>
      <c r="D66" s="67" t="s">
        <v>96</v>
      </c>
      <c r="E66" s="57">
        <v>21</v>
      </c>
      <c r="F66" s="58">
        <v>250.37</v>
      </c>
      <c r="G66" s="68">
        <f t="shared" si="4"/>
        <v>5257.77</v>
      </c>
      <c r="H66" t="s">
        <v>172</v>
      </c>
    </row>
    <row r="67" spans="1:8" ht="24">
      <c r="A67" s="146" t="s">
        <v>406</v>
      </c>
      <c r="B67" s="101">
        <v>71516</v>
      </c>
      <c r="C67" s="102" t="s">
        <v>11</v>
      </c>
      <c r="D67" s="103" t="s">
        <v>10</v>
      </c>
      <c r="E67" s="85">
        <v>42</v>
      </c>
      <c r="F67" s="104">
        <v>421</v>
      </c>
      <c r="G67" s="105">
        <f>ROUND(E67*F67,2)</f>
        <v>17682</v>
      </c>
      <c r="H67" t="s">
        <v>172</v>
      </c>
    </row>
    <row r="68" spans="1:8" ht="15">
      <c r="A68" s="146" t="s">
        <v>407</v>
      </c>
      <c r="B68" s="66" t="s">
        <v>109</v>
      </c>
      <c r="C68" s="65" t="s">
        <v>110</v>
      </c>
      <c r="D68" s="67" t="s">
        <v>96</v>
      </c>
      <c r="E68" s="57">
        <v>1</v>
      </c>
      <c r="F68" s="58">
        <v>582.83</v>
      </c>
      <c r="G68" s="68">
        <f t="shared" si="4"/>
        <v>582.83</v>
      </c>
      <c r="H68" t="s">
        <v>172</v>
      </c>
    </row>
    <row r="69" spans="1:11" ht="24.75">
      <c r="A69" s="146" t="s">
        <v>408</v>
      </c>
      <c r="B69" s="66" t="s">
        <v>12</v>
      </c>
      <c r="C69" s="77" t="s">
        <v>130</v>
      </c>
      <c r="D69" s="67" t="s">
        <v>93</v>
      </c>
      <c r="E69" s="57">
        <v>21</v>
      </c>
      <c r="F69" s="58">
        <v>173.74</v>
      </c>
      <c r="G69" s="68">
        <f t="shared" si="4"/>
        <v>3648.54</v>
      </c>
      <c r="H69" t="s">
        <v>172</v>
      </c>
      <c r="K69" s="125"/>
    </row>
    <row r="70" spans="1:11" ht="15">
      <c r="A70" s="146" t="s">
        <v>409</v>
      </c>
      <c r="B70" s="100" t="s">
        <v>443</v>
      </c>
      <c r="C70" s="350" t="s">
        <v>442</v>
      </c>
      <c r="D70" s="67" t="s">
        <v>93</v>
      </c>
      <c r="E70" s="57">
        <v>1</v>
      </c>
      <c r="F70" s="58">
        <v>701.4</v>
      </c>
      <c r="G70" s="68">
        <f t="shared" si="4"/>
        <v>701.4</v>
      </c>
      <c r="H70" t="s">
        <v>171</v>
      </c>
      <c r="K70" s="128"/>
    </row>
    <row r="71" spans="1:8" ht="15">
      <c r="A71" s="146" t="s">
        <v>410</v>
      </c>
      <c r="B71" s="86" t="s">
        <v>15</v>
      </c>
      <c r="C71" s="88" t="s">
        <v>111</v>
      </c>
      <c r="D71" s="70" t="s">
        <v>93</v>
      </c>
      <c r="E71" s="87">
        <v>2</v>
      </c>
      <c r="F71" s="86">
        <v>222.04</v>
      </c>
      <c r="G71" s="68">
        <f t="shared" si="4"/>
        <v>444.08</v>
      </c>
      <c r="H71" t="s">
        <v>171</v>
      </c>
    </row>
    <row r="72" spans="1:8" ht="15">
      <c r="A72" s="146" t="s">
        <v>411</v>
      </c>
      <c r="B72" s="86" t="str">
        <f>'COMPOSIÇÕES IFAL'!A136</f>
        <v>IFAL 14</v>
      </c>
      <c r="C72" s="88" t="s">
        <v>112</v>
      </c>
      <c r="D72" s="70" t="s">
        <v>93</v>
      </c>
      <c r="E72" s="87">
        <v>1</v>
      </c>
      <c r="F72" s="87">
        <f>'COMPOSIÇÕES IFAL'!F145</f>
        <v>51.51023</v>
      </c>
      <c r="G72" s="68">
        <f t="shared" si="4"/>
        <v>51.51023</v>
      </c>
      <c r="H72" t="s">
        <v>171</v>
      </c>
    </row>
    <row r="73" spans="1:8" ht="15">
      <c r="A73" s="146" t="s">
        <v>412</v>
      </c>
      <c r="B73" s="86" t="str">
        <f>'COMPOSIÇÕES IFAL'!A125</f>
        <v>IFAL 13</v>
      </c>
      <c r="C73" s="88" t="s">
        <v>256</v>
      </c>
      <c r="D73" s="70" t="s">
        <v>93</v>
      </c>
      <c r="E73" s="87">
        <v>1</v>
      </c>
      <c r="F73" s="86">
        <v>180.23</v>
      </c>
      <c r="G73" s="68">
        <f t="shared" si="4"/>
        <v>180.23</v>
      </c>
      <c r="H73" t="s">
        <v>171</v>
      </c>
    </row>
    <row r="74" spans="1:8" ht="15">
      <c r="A74" s="146" t="s">
        <v>413</v>
      </c>
      <c r="B74" s="92">
        <v>85120</v>
      </c>
      <c r="C74" s="89" t="s">
        <v>136</v>
      </c>
      <c r="D74" s="81" t="s">
        <v>93</v>
      </c>
      <c r="E74" s="92">
        <v>2</v>
      </c>
      <c r="F74" s="89">
        <v>65.41</v>
      </c>
      <c r="G74" s="68">
        <f t="shared" si="4"/>
        <v>130.82</v>
      </c>
      <c r="H74" t="s">
        <v>171</v>
      </c>
    </row>
    <row r="75" spans="1:8" ht="15">
      <c r="A75" s="146" t="s">
        <v>414</v>
      </c>
      <c r="B75" s="92" t="s">
        <v>139</v>
      </c>
      <c r="C75" s="89" t="s">
        <v>140</v>
      </c>
      <c r="D75" s="81" t="s">
        <v>93</v>
      </c>
      <c r="E75" s="92">
        <v>4</v>
      </c>
      <c r="F75" s="89">
        <v>245.23</v>
      </c>
      <c r="G75" s="68">
        <f t="shared" si="4"/>
        <v>980.92</v>
      </c>
      <c r="H75" t="s">
        <v>171</v>
      </c>
    </row>
    <row r="76" spans="1:8" ht="15">
      <c r="A76" s="146" t="s">
        <v>415</v>
      </c>
      <c r="B76" s="92" t="s">
        <v>137</v>
      </c>
      <c r="C76" s="89" t="s">
        <v>138</v>
      </c>
      <c r="D76" s="81" t="s">
        <v>93</v>
      </c>
      <c r="E76" s="92">
        <v>2</v>
      </c>
      <c r="F76" s="89">
        <v>711.05</v>
      </c>
      <c r="G76" s="68">
        <f t="shared" si="4"/>
        <v>1422.1</v>
      </c>
      <c r="H76" t="s">
        <v>171</v>
      </c>
    </row>
    <row r="77" spans="1:8" ht="15.75" thickBot="1">
      <c r="A77" s="146" t="s">
        <v>416</v>
      </c>
      <c r="B77" s="64">
        <v>72286</v>
      </c>
      <c r="C77" s="71" t="s">
        <v>114</v>
      </c>
      <c r="D77" s="56" t="s">
        <v>93</v>
      </c>
      <c r="E77" s="57">
        <v>1</v>
      </c>
      <c r="F77" s="58">
        <v>118.93</v>
      </c>
      <c r="G77" s="59">
        <f t="shared" si="4"/>
        <v>118.93</v>
      </c>
      <c r="H77" t="s">
        <v>171</v>
      </c>
    </row>
    <row r="78" spans="1:8" ht="15.75" thickTop="1">
      <c r="A78" s="48">
        <v>10</v>
      </c>
      <c r="B78" s="49"/>
      <c r="C78" s="50" t="s">
        <v>175</v>
      </c>
      <c r="D78" s="49"/>
      <c r="E78" s="51"/>
      <c r="F78" s="49"/>
      <c r="G78" s="52">
        <f>SUM(G79:G81)</f>
        <v>7456.82</v>
      </c>
      <c r="H78" s="125">
        <f>G78*1.2733</f>
        <v>9494.768906000001</v>
      </c>
    </row>
    <row r="79" spans="1:10" ht="36.75">
      <c r="A79" s="53" t="s">
        <v>186</v>
      </c>
      <c r="B79" s="66" t="s">
        <v>123</v>
      </c>
      <c r="C79" s="82" t="s">
        <v>124</v>
      </c>
      <c r="D79" s="56" t="s">
        <v>125</v>
      </c>
      <c r="E79" s="57">
        <v>59</v>
      </c>
      <c r="F79" s="58">
        <v>28</v>
      </c>
      <c r="G79" s="59">
        <f>E79*F79</f>
        <v>1652</v>
      </c>
      <c r="H79" t="s">
        <v>171</v>
      </c>
      <c r="I79" t="s">
        <v>171</v>
      </c>
      <c r="J79" s="125">
        <f>H78</f>
        <v>9494.768906000001</v>
      </c>
    </row>
    <row r="80" spans="1:7" ht="24.75">
      <c r="A80" s="53" t="s">
        <v>187</v>
      </c>
      <c r="B80" s="66">
        <v>84090</v>
      </c>
      <c r="C80" s="82" t="s">
        <v>147</v>
      </c>
      <c r="D80" s="56" t="s">
        <v>125</v>
      </c>
      <c r="E80" s="57">
        <v>76</v>
      </c>
      <c r="F80" s="58">
        <v>58.34</v>
      </c>
      <c r="G80" s="59">
        <f>E80*F80</f>
        <v>4433.84</v>
      </c>
    </row>
    <row r="81" spans="1:7" ht="37.5" thickBot="1">
      <c r="A81" s="53" t="s">
        <v>201</v>
      </c>
      <c r="B81" s="66" t="s">
        <v>145</v>
      </c>
      <c r="C81" s="82" t="s">
        <v>146</v>
      </c>
      <c r="D81" s="56" t="s">
        <v>125</v>
      </c>
      <c r="E81" s="57">
        <v>26</v>
      </c>
      <c r="F81" s="58">
        <v>52.73</v>
      </c>
      <c r="G81" s="59">
        <f>E81*F81</f>
        <v>1370.98</v>
      </c>
    </row>
    <row r="82" spans="1:8" ht="15.75" thickTop="1">
      <c r="A82" s="48">
        <v>11</v>
      </c>
      <c r="B82" s="49"/>
      <c r="C82" s="50" t="s">
        <v>174</v>
      </c>
      <c r="D82" s="49"/>
      <c r="E82" s="51"/>
      <c r="F82" s="49"/>
      <c r="G82" s="52">
        <f>SUM(G83:G87)</f>
        <v>2101.5825600000003</v>
      </c>
      <c r="H82" s="125">
        <f>G82*1.2733</f>
        <v>2675.9450736480007</v>
      </c>
    </row>
    <row r="83" spans="1:8" ht="15">
      <c r="A83" s="209" t="s">
        <v>417</v>
      </c>
      <c r="B83" s="210" t="str">
        <f>'COMPOSIÇÕES IFAL'!A64</f>
        <v>IFAL 8</v>
      </c>
      <c r="C83" s="211" t="s">
        <v>176</v>
      </c>
      <c r="D83" s="136" t="s">
        <v>14</v>
      </c>
      <c r="E83" s="191">
        <f>26+10+((1.05*2.1*2*2)+(0.15*2.1*2))</f>
        <v>45.45</v>
      </c>
      <c r="F83" s="192">
        <f>'COMPOSIÇÕES IFAL'!F73</f>
        <v>19.35</v>
      </c>
      <c r="G83" s="193">
        <f>E83*F83</f>
        <v>879.4575000000001</v>
      </c>
      <c r="H83" t="s">
        <v>172</v>
      </c>
    </row>
    <row r="84" spans="1:7" ht="24">
      <c r="A84" s="209" t="s">
        <v>418</v>
      </c>
      <c r="B84" s="135" t="s">
        <v>180</v>
      </c>
      <c r="C84" s="211" t="s">
        <v>181</v>
      </c>
      <c r="D84" s="136" t="s">
        <v>14</v>
      </c>
      <c r="E84" s="135">
        <v>36</v>
      </c>
      <c r="F84" s="212">
        <v>9.29</v>
      </c>
      <c r="G84" s="193">
        <f>E84*F84</f>
        <v>334.43999999999994</v>
      </c>
    </row>
    <row r="85" spans="1:7" ht="24">
      <c r="A85" s="209" t="s">
        <v>419</v>
      </c>
      <c r="B85" s="301" t="s">
        <v>211</v>
      </c>
      <c r="C85" s="211" t="s">
        <v>213</v>
      </c>
      <c r="D85" s="136" t="s">
        <v>14</v>
      </c>
      <c r="E85" s="135">
        <v>13.5</v>
      </c>
      <c r="F85" s="212">
        <v>7.81</v>
      </c>
      <c r="G85" s="193">
        <f>E85*F85</f>
        <v>105.43499999999999</v>
      </c>
    </row>
    <row r="86" spans="1:7" ht="15">
      <c r="A86" s="209" t="s">
        <v>420</v>
      </c>
      <c r="B86" s="92" t="s">
        <v>210</v>
      </c>
      <c r="C86" s="211" t="s">
        <v>209</v>
      </c>
      <c r="D86" s="136" t="s">
        <v>14</v>
      </c>
      <c r="E86" s="135">
        <f>(2*3.14*0.05/2)*E95</f>
        <v>21.666000000000004</v>
      </c>
      <c r="F86" s="212">
        <v>30.16</v>
      </c>
      <c r="G86" s="193">
        <f>E86*F86</f>
        <v>653.4465600000001</v>
      </c>
    </row>
    <row r="87" spans="1:7" ht="24">
      <c r="A87" s="209" t="s">
        <v>421</v>
      </c>
      <c r="B87" s="311">
        <v>88431</v>
      </c>
      <c r="C87" s="222" t="s">
        <v>394</v>
      </c>
      <c r="D87" s="136" t="s">
        <v>14</v>
      </c>
      <c r="E87" s="135">
        <f>((1.05*2.1*2*2)+(0.15*2.1*2))</f>
        <v>9.450000000000001</v>
      </c>
      <c r="F87" s="212">
        <v>13.63</v>
      </c>
      <c r="G87" s="193">
        <f>E87*F87</f>
        <v>128.8035</v>
      </c>
    </row>
    <row r="88" spans="1:9" ht="15">
      <c r="A88" s="208">
        <v>12</v>
      </c>
      <c r="B88" s="184"/>
      <c r="C88" s="185" t="s">
        <v>115</v>
      </c>
      <c r="D88" s="184"/>
      <c r="E88" s="186"/>
      <c r="F88" s="184"/>
      <c r="G88" s="187">
        <f>SUM(G89:G93)</f>
        <v>28453.1784</v>
      </c>
      <c r="H88" s="125">
        <f>G88*1.2733</f>
        <v>36229.432056720005</v>
      </c>
      <c r="I88" t="s">
        <v>172</v>
      </c>
    </row>
    <row r="89" spans="1:7" ht="24.75">
      <c r="A89" s="53" t="s">
        <v>422</v>
      </c>
      <c r="B89" s="66">
        <v>72554</v>
      </c>
      <c r="C89" s="82" t="s">
        <v>132</v>
      </c>
      <c r="D89" s="56" t="s">
        <v>93</v>
      </c>
      <c r="E89" s="57">
        <v>8</v>
      </c>
      <c r="F89" s="58">
        <v>533.31</v>
      </c>
      <c r="G89" s="59">
        <f>E89*F89</f>
        <v>4266.48</v>
      </c>
    </row>
    <row r="90" spans="1:7" ht="24.75">
      <c r="A90" s="53" t="s">
        <v>423</v>
      </c>
      <c r="B90" s="66">
        <v>83635</v>
      </c>
      <c r="C90" s="82" t="s">
        <v>118</v>
      </c>
      <c r="D90" s="56" t="s">
        <v>93</v>
      </c>
      <c r="E90" s="57">
        <v>85</v>
      </c>
      <c r="F90" s="58">
        <v>186.81</v>
      </c>
      <c r="G90" s="59">
        <f>E90*F90</f>
        <v>15878.85</v>
      </c>
    </row>
    <row r="91" spans="1:7" ht="24">
      <c r="A91" s="53" t="s">
        <v>424</v>
      </c>
      <c r="B91" s="66">
        <v>72947</v>
      </c>
      <c r="C91" s="71" t="s">
        <v>119</v>
      </c>
      <c r="D91" s="56" t="s">
        <v>14</v>
      </c>
      <c r="E91" s="57">
        <v>55.86</v>
      </c>
      <c r="F91" s="58">
        <v>16.57</v>
      </c>
      <c r="G91" s="59">
        <f>E91*F91</f>
        <v>925.6002</v>
      </c>
    </row>
    <row r="92" spans="1:7" ht="24">
      <c r="A92" s="53" t="s">
        <v>425</v>
      </c>
      <c r="B92" s="66" t="str">
        <f>'COMPOSIÇÕES IFAL'!A75</f>
        <v>IFAL 9</v>
      </c>
      <c r="C92" s="72" t="s">
        <v>131</v>
      </c>
      <c r="D92" s="66" t="s">
        <v>96</v>
      </c>
      <c r="E92" s="83">
        <v>216</v>
      </c>
      <c r="F92" s="84">
        <f>'COMPOSIÇÕES IFAL'!F82</f>
        <v>33.39</v>
      </c>
      <c r="G92" s="59">
        <f>E92*F92</f>
        <v>7212.24</v>
      </c>
    </row>
    <row r="93" spans="1:7" ht="24.75" thickBot="1">
      <c r="A93" s="53" t="s">
        <v>426</v>
      </c>
      <c r="B93" s="66">
        <v>72947</v>
      </c>
      <c r="C93" s="71" t="s">
        <v>120</v>
      </c>
      <c r="D93" s="56" t="s">
        <v>14</v>
      </c>
      <c r="E93" s="57">
        <v>10.26</v>
      </c>
      <c r="F93" s="58">
        <v>16.57</v>
      </c>
      <c r="G93" s="59">
        <f>E93*F93</f>
        <v>170.0082</v>
      </c>
    </row>
    <row r="94" spans="1:8" ht="15.75" thickTop="1">
      <c r="A94" s="48">
        <v>13</v>
      </c>
      <c r="B94" s="49"/>
      <c r="C94" s="50" t="s">
        <v>121</v>
      </c>
      <c r="D94" s="49"/>
      <c r="E94" s="51"/>
      <c r="F94" s="49"/>
      <c r="G94" s="52">
        <f>SUM(G95:G99)</f>
        <v>8191.04</v>
      </c>
      <c r="H94" s="125">
        <f>G94*1.2733</f>
        <v>10429.651232</v>
      </c>
    </row>
    <row r="95" spans="1:12" ht="36.75">
      <c r="A95" s="209" t="s">
        <v>427</v>
      </c>
      <c r="B95" s="197" t="s">
        <v>141</v>
      </c>
      <c r="C95" s="251" t="s">
        <v>207</v>
      </c>
      <c r="D95" s="190" t="s">
        <v>13</v>
      </c>
      <c r="E95" s="191">
        <v>138</v>
      </c>
      <c r="F95" s="192">
        <v>49.98</v>
      </c>
      <c r="G95" s="193">
        <f>E95*F95</f>
        <v>6897.24</v>
      </c>
      <c r="H95" t="s">
        <v>172</v>
      </c>
      <c r="J95" t="s">
        <v>171</v>
      </c>
      <c r="K95" s="305">
        <f>G96+G97+G98</f>
        <v>1034.59</v>
      </c>
      <c r="L95" s="125">
        <f>K95*1.2733</f>
        <v>1317.343447</v>
      </c>
    </row>
    <row r="96" spans="1:12" ht="15">
      <c r="A96" s="209" t="s">
        <v>428</v>
      </c>
      <c r="B96" s="188" t="str">
        <f>'COMPOSIÇÕES IFAL'!A84</f>
        <v>IFAL 10</v>
      </c>
      <c r="C96" s="189" t="s">
        <v>31</v>
      </c>
      <c r="D96" s="190" t="s">
        <v>34</v>
      </c>
      <c r="E96" s="191">
        <v>4</v>
      </c>
      <c r="F96" s="252">
        <f>'COMPOSIÇÕES IFAL'!F95</f>
        <v>185.17000000000002</v>
      </c>
      <c r="G96" s="193">
        <f>ROUND(E96*F96,2)</f>
        <v>740.68</v>
      </c>
      <c r="H96" t="s">
        <v>171</v>
      </c>
      <c r="J96" t="s">
        <v>172</v>
      </c>
      <c r="K96" s="305">
        <f>G95+G99</f>
        <v>7156.45</v>
      </c>
      <c r="L96" s="125">
        <f>K96*1.2733</f>
        <v>9112.307785</v>
      </c>
    </row>
    <row r="97" spans="1:12" ht="24">
      <c r="A97" s="209" t="s">
        <v>429</v>
      </c>
      <c r="B97" s="396" t="s">
        <v>388</v>
      </c>
      <c r="C97" s="222" t="s">
        <v>385</v>
      </c>
      <c r="D97" s="136" t="s">
        <v>14</v>
      </c>
      <c r="E97" s="191">
        <f>'Memória de cálculos'!D60</f>
        <v>4.050000000000001</v>
      </c>
      <c r="F97" s="252">
        <v>38.22</v>
      </c>
      <c r="G97" s="193">
        <f>ROUND(E97*F97,2)</f>
        <v>154.79</v>
      </c>
      <c r="H97" t="s">
        <v>171</v>
      </c>
      <c r="L97" s="306"/>
    </row>
    <row r="98" spans="1:8" ht="24">
      <c r="A98" s="209" t="s">
        <v>430</v>
      </c>
      <c r="B98" s="308" t="s">
        <v>386</v>
      </c>
      <c r="C98" s="222" t="s">
        <v>387</v>
      </c>
      <c r="D98" s="136" t="s">
        <v>14</v>
      </c>
      <c r="E98" s="191">
        <f>'Memória de cálculos'!D62</f>
        <v>4.050000000000001</v>
      </c>
      <c r="F98" s="252">
        <v>34.35</v>
      </c>
      <c r="G98" s="193">
        <f>ROUND(E98*F98,2)</f>
        <v>139.12</v>
      </c>
      <c r="H98" t="s">
        <v>171</v>
      </c>
    </row>
    <row r="99" spans="1:11" ht="15">
      <c r="A99" s="209" t="s">
        <v>431</v>
      </c>
      <c r="B99" s="197">
        <v>9537</v>
      </c>
      <c r="C99" s="207" t="s">
        <v>202</v>
      </c>
      <c r="D99" s="194" t="s">
        <v>14</v>
      </c>
      <c r="E99" s="191">
        <f>E79+E80+E81</f>
        <v>161</v>
      </c>
      <c r="F99" s="192">
        <v>1.61</v>
      </c>
      <c r="G99" s="200">
        <f>ROUND(E99*F99,2)</f>
        <v>259.21</v>
      </c>
      <c r="H99" t="s">
        <v>172</v>
      </c>
      <c r="I99">
        <f>G99*1.2443</f>
        <v>322.53500299999996</v>
      </c>
      <c r="K99" t="s">
        <v>516</v>
      </c>
    </row>
    <row r="100" spans="1:7" ht="15.75" thickBot="1">
      <c r="A100" s="14"/>
      <c r="B100" s="15"/>
      <c r="C100" s="443" t="s">
        <v>518</v>
      </c>
      <c r="D100" s="443"/>
      <c r="E100" s="443"/>
      <c r="F100" s="444">
        <f>G94+G88+G82+G78+G58+G48+G44+G40+G37+G32+G28+G18+G7</f>
        <v>500846.14075</v>
      </c>
      <c r="G100" s="444"/>
    </row>
    <row r="101" spans="1:7" ht="16.5" thickBot="1" thickTop="1">
      <c r="A101" s="7"/>
      <c r="B101" s="8"/>
      <c r="C101" s="445" t="s">
        <v>517</v>
      </c>
      <c r="D101" s="445"/>
      <c r="E101" s="445"/>
      <c r="F101" s="446">
        <f>F100*0.2733</f>
        <v>136881.250266975</v>
      </c>
      <c r="G101" s="446"/>
    </row>
    <row r="102" spans="1:7" ht="16.5" thickBot="1" thickTop="1">
      <c r="A102" s="9"/>
      <c r="B102" s="10"/>
      <c r="C102" s="441" t="s">
        <v>18</v>
      </c>
      <c r="D102" s="441"/>
      <c r="E102" s="441"/>
      <c r="F102" s="442">
        <f>SUM(F100:F101)</f>
        <v>637727.391016975</v>
      </c>
      <c r="G102" s="442"/>
    </row>
    <row r="103" ht="15">
      <c r="B103" s="264" t="s">
        <v>519</v>
      </c>
    </row>
    <row r="106" ht="15.75">
      <c r="C106" s="266" t="s">
        <v>291</v>
      </c>
    </row>
    <row r="107" spans="3:6" ht="15.75">
      <c r="C107" s="266" t="s">
        <v>292</v>
      </c>
      <c r="F107" s="127">
        <f>F100-497438.3</f>
        <v>3407.840750000032</v>
      </c>
    </row>
    <row r="108" ht="15.75">
      <c r="C108" s="266" t="s">
        <v>293</v>
      </c>
    </row>
  </sheetData>
  <sheetProtection selectLockedCells="1" selectUnlockedCells="1"/>
  <mergeCells count="13">
    <mergeCell ref="A1:G1"/>
    <mergeCell ref="A2:G2"/>
    <mergeCell ref="A4:B4"/>
    <mergeCell ref="C4:G4"/>
    <mergeCell ref="A5:B5"/>
    <mergeCell ref="C5:G5"/>
    <mergeCell ref="A3:G3"/>
    <mergeCell ref="C102:E102"/>
    <mergeCell ref="F102:G102"/>
    <mergeCell ref="C100:E100"/>
    <mergeCell ref="F100:G100"/>
    <mergeCell ref="C101:E101"/>
    <mergeCell ref="F101:G101"/>
  </mergeCells>
  <hyperlinks>
    <hyperlink ref="C36" r:id="rId1" display="http://187.17.2.135/orse/composicao.asp?font_sg_fonte=ORSE&amp;serv_nr_codigo=2172&amp;peri_nr_ano=2015&amp;peri_nr_mes=11&amp;peri_nr_ordem=1"/>
  </hyperlinks>
  <printOptions horizontalCentered="1" verticalCentered="1"/>
  <pageMargins left="0.9840277777777777" right="0.39375" top="0.9840277777777777" bottom="0.5902777777777778" header="0.5118055555555555" footer="0.5118055555555555"/>
  <pageSetup fitToHeight="0" fitToWidth="1" horizontalDpi="600" verticalDpi="600" orientation="portrait" paperSize="9" scale="61" r:id="rId2"/>
</worksheet>
</file>

<file path=xl/worksheets/sheet2.xml><?xml version="1.0" encoding="utf-8"?>
<worksheet xmlns="http://schemas.openxmlformats.org/spreadsheetml/2006/main" xmlns:r="http://schemas.openxmlformats.org/officeDocument/2006/relationships">
  <dimension ref="A1:H227"/>
  <sheetViews>
    <sheetView zoomScalePageLayoutView="0" workbookViewId="0" topLeftCell="A1">
      <selection activeCell="F227" sqref="A1:F227"/>
    </sheetView>
  </sheetViews>
  <sheetFormatPr defaultColWidth="9.28125" defaultRowHeight="15"/>
  <cols>
    <col min="1" max="1" width="14.00390625" style="0" customWidth="1"/>
    <col min="2" max="2" width="56.421875" style="0" customWidth="1"/>
    <col min="3" max="3" width="10.57421875" style="0" customWidth="1"/>
    <col min="4" max="4" width="11.8515625" style="11" customWidth="1"/>
    <col min="5" max="5" width="10.28125" style="12" customWidth="1"/>
    <col min="6" max="6" width="11.00390625" style="11" customWidth="1"/>
    <col min="7" max="7" width="12.140625" style="11" customWidth="1"/>
    <col min="8" max="8" width="9.28125" style="0" customWidth="1"/>
    <col min="9" max="9" width="14.8515625" style="0" customWidth="1"/>
  </cols>
  <sheetData>
    <row r="1" spans="1:7" ht="21">
      <c r="A1" s="456" t="s">
        <v>19</v>
      </c>
      <c r="B1" s="456"/>
      <c r="C1" s="456"/>
      <c r="D1" s="456"/>
      <c r="E1" s="456"/>
      <c r="F1" s="456"/>
      <c r="G1" s="140"/>
    </row>
    <row r="2" spans="1:7" ht="18.75">
      <c r="A2" s="457" t="s">
        <v>46</v>
      </c>
      <c r="B2" s="457"/>
      <c r="C2" s="457"/>
      <c r="D2" s="457"/>
      <c r="E2" s="457"/>
      <c r="F2" s="457"/>
      <c r="G2" s="141"/>
    </row>
    <row r="3" spans="1:6" ht="16.5" customHeight="1">
      <c r="A3" s="458" t="s">
        <v>47</v>
      </c>
      <c r="B3" s="458"/>
      <c r="C3" s="458"/>
      <c r="D3" s="142"/>
      <c r="E3" s="131" t="s">
        <v>0</v>
      </c>
      <c r="F3" s="131"/>
    </row>
    <row r="4" spans="3:5" ht="15">
      <c r="C4" s="1" t="s">
        <v>432</v>
      </c>
      <c r="D4" s="467" t="s">
        <v>440</v>
      </c>
      <c r="E4" s="467"/>
    </row>
    <row r="5" spans="3:5" ht="15.75" thickBot="1">
      <c r="C5" s="1" t="s">
        <v>433</v>
      </c>
      <c r="D5" s="478" t="s">
        <v>450</v>
      </c>
      <c r="E5" s="478"/>
    </row>
    <row r="6" spans="1:7" ht="15" customHeight="1" thickBot="1">
      <c r="A6" s="19" t="s">
        <v>188</v>
      </c>
      <c r="B6" s="462" t="s">
        <v>55</v>
      </c>
      <c r="C6" s="463"/>
      <c r="D6" s="463"/>
      <c r="E6" s="463"/>
      <c r="F6" s="463"/>
      <c r="G6" s="138"/>
    </row>
    <row r="7" spans="1:8" ht="15" customHeight="1">
      <c r="A7" s="27" t="s">
        <v>2</v>
      </c>
      <c r="B7" s="28" t="s">
        <v>26</v>
      </c>
      <c r="C7" s="28" t="s">
        <v>20</v>
      </c>
      <c r="D7" s="29" t="s">
        <v>5</v>
      </c>
      <c r="E7" s="28" t="s">
        <v>6</v>
      </c>
      <c r="F7" s="30" t="s">
        <v>8</v>
      </c>
      <c r="G7" s="470"/>
      <c r="H7" s="471"/>
    </row>
    <row r="8" spans="1:6" ht="15" customHeight="1">
      <c r="A8" s="22" t="s">
        <v>190</v>
      </c>
      <c r="B8" s="4" t="s">
        <v>148</v>
      </c>
      <c r="C8" s="3" t="s">
        <v>22</v>
      </c>
      <c r="D8" s="18">
        <f>10*4*4</f>
        <v>160</v>
      </c>
      <c r="E8" s="25">
        <v>63.11</v>
      </c>
      <c r="F8" s="24">
        <f>ROUND(D8*E8,2)</f>
        <v>10097.6</v>
      </c>
    </row>
    <row r="9" spans="1:6" ht="15" customHeight="1">
      <c r="A9" s="22" t="s">
        <v>451</v>
      </c>
      <c r="B9" s="256" t="s">
        <v>439</v>
      </c>
      <c r="C9" s="3" t="s">
        <v>22</v>
      </c>
      <c r="D9" s="18">
        <f>20*4*4</f>
        <v>320</v>
      </c>
      <c r="E9" s="25">
        <v>23.51</v>
      </c>
      <c r="F9" s="24">
        <f>ROUND(D9*E9,2)</f>
        <v>7523.2</v>
      </c>
    </row>
    <row r="10" spans="1:6" ht="15" customHeight="1">
      <c r="A10" s="22" t="s">
        <v>273</v>
      </c>
      <c r="B10" s="4" t="s">
        <v>272</v>
      </c>
      <c r="C10" s="3" t="s">
        <v>22</v>
      </c>
      <c r="D10" s="18">
        <f>40*4*4</f>
        <v>640</v>
      </c>
      <c r="E10" s="25">
        <v>14.38</v>
      </c>
      <c r="F10" s="24">
        <f>ROUND(D10*E10,2)</f>
        <v>9203.2</v>
      </c>
    </row>
    <row r="11" spans="1:6" ht="15" customHeight="1">
      <c r="A11" s="459" t="s">
        <v>24</v>
      </c>
      <c r="B11" s="460"/>
      <c r="C11" s="460"/>
      <c r="D11" s="460"/>
      <c r="E11" s="461"/>
      <c r="F11" s="26">
        <f>SUM(F8:F10)</f>
        <v>26824</v>
      </c>
    </row>
    <row r="12" spans="1:6" ht="15" customHeight="1" thickBot="1">
      <c r="A12" s="139" t="s">
        <v>25</v>
      </c>
      <c r="B12" s="130"/>
      <c r="C12" s="130"/>
      <c r="D12" s="130"/>
      <c r="E12" s="130"/>
      <c r="F12" s="36">
        <f>F11</f>
        <v>26824</v>
      </c>
    </row>
    <row r="13" spans="1:7" ht="15" customHeight="1">
      <c r="A13" s="2"/>
      <c r="B13" s="2"/>
      <c r="C13" s="1"/>
      <c r="D13" s="1"/>
      <c r="E13" s="13"/>
      <c r="F13"/>
      <c r="G13"/>
    </row>
    <row r="14" spans="1:7" ht="15" customHeight="1" thickBot="1">
      <c r="A14" s="93"/>
      <c r="B14" s="93"/>
      <c r="C14" s="93"/>
      <c r="D14" s="93"/>
      <c r="E14" s="93"/>
      <c r="F14" s="93"/>
      <c r="G14" s="91"/>
    </row>
    <row r="15" spans="1:7" ht="15" customHeight="1">
      <c r="A15" s="150" t="s">
        <v>191</v>
      </c>
      <c r="B15" s="468" t="s">
        <v>63</v>
      </c>
      <c r="C15" s="468"/>
      <c r="D15" s="468"/>
      <c r="E15" s="468"/>
      <c r="F15" s="469"/>
      <c r="G15" s="91"/>
    </row>
    <row r="16" spans="1:7" ht="15" customHeight="1">
      <c r="A16" s="151" t="s">
        <v>2</v>
      </c>
      <c r="B16" s="143" t="s">
        <v>26</v>
      </c>
      <c r="C16" s="143" t="s">
        <v>20</v>
      </c>
      <c r="D16" s="144" t="s">
        <v>5</v>
      </c>
      <c r="E16" s="143" t="s">
        <v>6</v>
      </c>
      <c r="F16" s="152" t="s">
        <v>8</v>
      </c>
      <c r="G16" s="91"/>
    </row>
    <row r="17" spans="1:7" ht="15" customHeight="1">
      <c r="A17" s="153" t="s">
        <v>190</v>
      </c>
      <c r="B17" s="147" t="s">
        <v>148</v>
      </c>
      <c r="C17" s="148" t="s">
        <v>22</v>
      </c>
      <c r="D17" s="149">
        <v>20</v>
      </c>
      <c r="E17" s="145">
        <v>63.11</v>
      </c>
      <c r="F17" s="154">
        <f>ROUND(D17*E17,2)</f>
        <v>1262.2</v>
      </c>
      <c r="G17" s="91"/>
    </row>
    <row r="18" spans="1:7" ht="15" customHeight="1" thickBot="1">
      <c r="A18" s="475" t="s">
        <v>24</v>
      </c>
      <c r="B18" s="476"/>
      <c r="C18" s="476"/>
      <c r="D18" s="476"/>
      <c r="E18" s="476"/>
      <c r="F18" s="155">
        <f>SUM(F17:F17)</f>
        <v>1262.2</v>
      </c>
      <c r="G18" s="91"/>
    </row>
    <row r="19" spans="1:7" ht="15" customHeight="1" thickBot="1">
      <c r="A19" s="93"/>
      <c r="B19" s="93"/>
      <c r="C19" s="93"/>
      <c r="D19" s="93"/>
      <c r="E19" s="93"/>
      <c r="F19" s="93"/>
      <c r="G19" s="91"/>
    </row>
    <row r="20" spans="1:7" ht="15" customHeight="1">
      <c r="A20" s="150" t="s">
        <v>192</v>
      </c>
      <c r="B20" s="468" t="s">
        <v>65</v>
      </c>
      <c r="C20" s="468"/>
      <c r="D20" s="468"/>
      <c r="E20" s="468"/>
      <c r="F20" s="469"/>
      <c r="G20" s="91"/>
    </row>
    <row r="21" spans="1:7" ht="15" customHeight="1">
      <c r="A21" s="151" t="s">
        <v>2</v>
      </c>
      <c r="B21" s="143" t="s">
        <v>26</v>
      </c>
      <c r="C21" s="143" t="s">
        <v>20</v>
      </c>
      <c r="D21" s="144" t="s">
        <v>5</v>
      </c>
      <c r="E21" s="143" t="s">
        <v>6</v>
      </c>
      <c r="F21" s="152" t="s">
        <v>8</v>
      </c>
      <c r="G21" s="91"/>
    </row>
    <row r="22" spans="1:7" ht="15" customHeight="1">
      <c r="A22" s="153" t="s">
        <v>190</v>
      </c>
      <c r="B22" s="147" t="s">
        <v>148</v>
      </c>
      <c r="C22" s="148" t="s">
        <v>22</v>
      </c>
      <c r="D22" s="149">
        <v>20</v>
      </c>
      <c r="E22" s="145">
        <v>63.11</v>
      </c>
      <c r="F22" s="154">
        <f>ROUND(D22*E22,2)</f>
        <v>1262.2</v>
      </c>
      <c r="G22" s="91"/>
    </row>
    <row r="23" spans="1:7" ht="15" customHeight="1" thickBot="1">
      <c r="A23" s="475" t="s">
        <v>24</v>
      </c>
      <c r="B23" s="476"/>
      <c r="C23" s="476"/>
      <c r="D23" s="476"/>
      <c r="E23" s="476"/>
      <c r="F23" s="155">
        <f>SUM(F22:F22)</f>
        <v>1262.2</v>
      </c>
      <c r="G23" s="91"/>
    </row>
    <row r="24" spans="1:7" ht="15" customHeight="1" thickBot="1">
      <c r="A24" s="93"/>
      <c r="B24" s="93"/>
      <c r="C24" s="93"/>
      <c r="D24" s="93"/>
      <c r="E24" s="93"/>
      <c r="F24" s="93"/>
      <c r="G24" s="91"/>
    </row>
    <row r="25" spans="1:7" ht="15" customHeight="1">
      <c r="A25" s="150" t="s">
        <v>193</v>
      </c>
      <c r="B25" s="468" t="s">
        <v>149</v>
      </c>
      <c r="C25" s="468"/>
      <c r="D25" s="468"/>
      <c r="E25" s="468"/>
      <c r="F25" s="469"/>
      <c r="G25" s="91"/>
    </row>
    <row r="26" spans="1:7" ht="15" customHeight="1">
      <c r="A26" s="151" t="s">
        <v>2</v>
      </c>
      <c r="B26" s="143" t="s">
        <v>26</v>
      </c>
      <c r="C26" s="143" t="s">
        <v>20</v>
      </c>
      <c r="D26" s="144" t="s">
        <v>5</v>
      </c>
      <c r="E26" s="143" t="s">
        <v>6</v>
      </c>
      <c r="F26" s="152" t="s">
        <v>8</v>
      </c>
      <c r="G26" s="91"/>
    </row>
    <row r="27" spans="1:7" ht="15" customHeight="1">
      <c r="A27" s="153" t="s">
        <v>190</v>
      </c>
      <c r="B27" s="147" t="s">
        <v>148</v>
      </c>
      <c r="C27" s="148" t="s">
        <v>22</v>
      </c>
      <c r="D27" s="149">
        <v>16</v>
      </c>
      <c r="E27" s="145">
        <v>63.11</v>
      </c>
      <c r="F27" s="154">
        <f>ROUND(D27*E27,2)</f>
        <v>1009.76</v>
      </c>
      <c r="G27" s="91"/>
    </row>
    <row r="28" spans="1:7" ht="15" customHeight="1">
      <c r="A28" s="94">
        <v>88597</v>
      </c>
      <c r="B28" s="95" t="s">
        <v>150</v>
      </c>
      <c r="C28" s="96" t="s">
        <v>22</v>
      </c>
      <c r="D28" s="158">
        <v>24</v>
      </c>
      <c r="E28" s="156">
        <v>12.12</v>
      </c>
      <c r="F28" s="154">
        <f>ROUND(D28*E28,2)</f>
        <v>290.88</v>
      </c>
      <c r="G28" s="91"/>
    </row>
    <row r="29" spans="1:7" ht="15" customHeight="1">
      <c r="A29" s="459" t="s">
        <v>24</v>
      </c>
      <c r="B29" s="460"/>
      <c r="C29" s="460"/>
      <c r="D29" s="460"/>
      <c r="E29" s="461"/>
      <c r="F29" s="26">
        <f>SUM(F26:F28)</f>
        <v>1300.6399999999999</v>
      </c>
      <c r="G29" s="91"/>
    </row>
    <row r="30" spans="1:7" ht="15" customHeight="1">
      <c r="A30" s="32" t="s">
        <v>2</v>
      </c>
      <c r="B30" s="33" t="s">
        <v>189</v>
      </c>
      <c r="C30" s="33" t="s">
        <v>20</v>
      </c>
      <c r="D30" s="34" t="s">
        <v>21</v>
      </c>
      <c r="E30" s="33" t="s">
        <v>6</v>
      </c>
      <c r="F30" s="35" t="s">
        <v>8</v>
      </c>
      <c r="G30" s="91"/>
    </row>
    <row r="31" spans="1:7" ht="15" customHeight="1">
      <c r="A31" s="98" t="s">
        <v>151</v>
      </c>
      <c r="B31" s="99" t="s">
        <v>152</v>
      </c>
      <c r="C31" s="96" t="s">
        <v>10</v>
      </c>
      <c r="D31" s="97">
        <v>1</v>
      </c>
      <c r="E31" s="156">
        <v>195.94</v>
      </c>
      <c r="F31" s="157">
        <f>D31*E31</f>
        <v>195.94</v>
      </c>
      <c r="G31" s="91"/>
    </row>
    <row r="32" spans="1:7" ht="15" customHeight="1">
      <c r="A32" s="98" t="s">
        <v>153</v>
      </c>
      <c r="B32" s="99" t="s">
        <v>154</v>
      </c>
      <c r="C32" s="96" t="s">
        <v>155</v>
      </c>
      <c r="D32" s="97">
        <v>1</v>
      </c>
      <c r="E32" s="156">
        <v>60</v>
      </c>
      <c r="F32" s="157">
        <f>D32*E32</f>
        <v>60</v>
      </c>
      <c r="G32" s="91"/>
    </row>
    <row r="33" spans="1:7" ht="15" customHeight="1">
      <c r="A33" s="472" t="s">
        <v>28</v>
      </c>
      <c r="B33" s="473"/>
      <c r="C33" s="473"/>
      <c r="D33" s="473"/>
      <c r="E33" s="474"/>
      <c r="F33" s="26">
        <f>SUM(F30:F32)</f>
        <v>255.94</v>
      </c>
      <c r="G33" s="91"/>
    </row>
    <row r="34" spans="1:7" ht="15" customHeight="1" thickBot="1">
      <c r="A34" s="139" t="s">
        <v>25</v>
      </c>
      <c r="B34" s="130"/>
      <c r="C34" s="130"/>
      <c r="D34" s="130"/>
      <c r="E34" s="130"/>
      <c r="F34" s="36">
        <f>F29+F33</f>
        <v>1556.58</v>
      </c>
      <c r="G34" s="91"/>
    </row>
    <row r="35" spans="1:6" ht="15" customHeight="1" thickBot="1">
      <c r="A35" s="159"/>
      <c r="B35" s="159"/>
      <c r="C35" s="159"/>
      <c r="D35" s="159"/>
      <c r="E35" s="159"/>
      <c r="F35" s="160"/>
    </row>
    <row r="36" spans="1:7" ht="15" customHeight="1" thickBot="1">
      <c r="A36" s="150" t="s">
        <v>194</v>
      </c>
      <c r="B36" s="468" t="s">
        <v>30</v>
      </c>
      <c r="C36" s="468"/>
      <c r="D36" s="468"/>
      <c r="E36" s="468"/>
      <c r="F36" s="469"/>
      <c r="G36" s="167"/>
    </row>
    <row r="37" spans="1:6" ht="15" customHeight="1">
      <c r="A37" s="151" t="s">
        <v>2</v>
      </c>
      <c r="B37" s="143" t="s">
        <v>26</v>
      </c>
      <c r="C37" s="143" t="s">
        <v>20</v>
      </c>
      <c r="D37" s="144" t="s">
        <v>21</v>
      </c>
      <c r="E37" s="143" t="s">
        <v>6</v>
      </c>
      <c r="F37" s="152" t="s">
        <v>8</v>
      </c>
    </row>
    <row r="38" spans="1:6" ht="15" customHeight="1">
      <c r="A38" s="153" t="s">
        <v>259</v>
      </c>
      <c r="B38" s="147" t="s">
        <v>260</v>
      </c>
      <c r="C38" s="148" t="s">
        <v>22</v>
      </c>
      <c r="D38" s="149">
        <v>1</v>
      </c>
      <c r="E38" s="168">
        <v>15.68</v>
      </c>
      <c r="F38" s="154">
        <f>ROUND(D38*E38,2)</f>
        <v>15.68</v>
      </c>
    </row>
    <row r="39" spans="1:6" ht="15" customHeight="1">
      <c r="A39" s="162"/>
      <c r="B39" s="161" t="s">
        <v>24</v>
      </c>
      <c r="C39" s="161"/>
      <c r="D39" s="161"/>
      <c r="E39" s="161"/>
      <c r="F39" s="163">
        <f>SUM(F38:F38)</f>
        <v>15.68</v>
      </c>
    </row>
    <row r="40" spans="1:6" ht="15" customHeight="1">
      <c r="A40" s="151" t="s">
        <v>2</v>
      </c>
      <c r="B40" s="143" t="s">
        <v>27</v>
      </c>
      <c r="C40" s="143" t="s">
        <v>20</v>
      </c>
      <c r="D40" s="144" t="s">
        <v>21</v>
      </c>
      <c r="E40" s="143" t="s">
        <v>6</v>
      </c>
      <c r="F40" s="152" t="s">
        <v>8</v>
      </c>
    </row>
    <row r="41" spans="1:6" ht="32.25" customHeight="1">
      <c r="A41" s="153" t="s">
        <v>23</v>
      </c>
      <c r="B41" s="147" t="s">
        <v>134</v>
      </c>
      <c r="C41" s="148" t="s">
        <v>10</v>
      </c>
      <c r="D41" s="149">
        <v>1</v>
      </c>
      <c r="E41" s="168">
        <f>(1899+2453.6+1701.03)/3</f>
        <v>2017.8766666666668</v>
      </c>
      <c r="F41" s="154">
        <f>ROUND(D41*E41,2)</f>
        <v>2017.88</v>
      </c>
    </row>
    <row r="42" spans="1:6" ht="15" customHeight="1">
      <c r="A42" s="162"/>
      <c r="B42" s="161" t="s">
        <v>28</v>
      </c>
      <c r="C42" s="161"/>
      <c r="D42" s="161"/>
      <c r="E42" s="161"/>
      <c r="F42" s="163">
        <f>SUM(F41:F41)</f>
        <v>2017.88</v>
      </c>
    </row>
    <row r="43" spans="1:6" ht="15" customHeight="1" thickBot="1">
      <c r="A43" s="164" t="s">
        <v>25</v>
      </c>
      <c r="B43" s="165"/>
      <c r="C43" s="165"/>
      <c r="D43" s="165"/>
      <c r="E43" s="165"/>
      <c r="F43" s="166">
        <f>F39+F42</f>
        <v>2033.5600000000002</v>
      </c>
    </row>
    <row r="44" spans="1:6" ht="15" customHeight="1" thickBot="1">
      <c r="A44" s="482"/>
      <c r="B44" s="483"/>
      <c r="C44" s="483"/>
      <c r="D44" s="483"/>
      <c r="E44" s="483"/>
      <c r="F44" s="484"/>
    </row>
    <row r="45" spans="1:7" ht="15" customHeight="1" thickBot="1">
      <c r="A45" s="150" t="s">
        <v>195</v>
      </c>
      <c r="B45" s="462" t="s">
        <v>38</v>
      </c>
      <c r="C45" s="463"/>
      <c r="D45" s="463"/>
      <c r="E45" s="463"/>
      <c r="F45" s="463"/>
      <c r="G45" s="137"/>
    </row>
    <row r="46" spans="1:6" ht="15" customHeight="1">
      <c r="A46" s="27" t="s">
        <v>2</v>
      </c>
      <c r="B46" s="28" t="s">
        <v>26</v>
      </c>
      <c r="C46" s="28" t="s">
        <v>20</v>
      </c>
      <c r="D46" s="29" t="s">
        <v>21</v>
      </c>
      <c r="E46" s="28" t="s">
        <v>6</v>
      </c>
      <c r="F46" s="30" t="s">
        <v>8</v>
      </c>
    </row>
    <row r="47" spans="1:6" ht="15" customHeight="1">
      <c r="A47" s="153" t="s">
        <v>259</v>
      </c>
      <c r="B47" s="147" t="s">
        <v>260</v>
      </c>
      <c r="C47" s="3" t="s">
        <v>22</v>
      </c>
      <c r="D47" s="18">
        <v>1</v>
      </c>
      <c r="E47" s="168">
        <v>15.68</v>
      </c>
      <c r="F47" s="24">
        <f>ROUND(D47*E47,2)</f>
        <v>15.68</v>
      </c>
    </row>
    <row r="48" spans="1:6" ht="15" customHeight="1">
      <c r="A48" s="31"/>
      <c r="B48" s="129" t="s">
        <v>24</v>
      </c>
      <c r="C48" s="129"/>
      <c r="D48" s="129"/>
      <c r="E48" s="129"/>
      <c r="F48" s="26">
        <f>SUM(F47:F47)</f>
        <v>15.68</v>
      </c>
    </row>
    <row r="49" spans="1:6" ht="15" customHeight="1">
      <c r="A49" s="32" t="s">
        <v>2</v>
      </c>
      <c r="B49" s="33" t="s">
        <v>27</v>
      </c>
      <c r="C49" s="33" t="s">
        <v>20</v>
      </c>
      <c r="D49" s="34" t="s">
        <v>21</v>
      </c>
      <c r="E49" s="33" t="s">
        <v>6</v>
      </c>
      <c r="F49" s="35" t="s">
        <v>8</v>
      </c>
    </row>
    <row r="50" spans="1:6" ht="21" customHeight="1">
      <c r="A50" s="22" t="s">
        <v>23</v>
      </c>
      <c r="B50" s="4" t="s">
        <v>38</v>
      </c>
      <c r="C50" s="3" t="s">
        <v>10</v>
      </c>
      <c r="D50" s="18">
        <v>1</v>
      </c>
      <c r="E50" s="23">
        <f>(265+99.97+173.82)/3</f>
        <v>179.59666666666666</v>
      </c>
      <c r="F50" s="24">
        <f>ROUND(D50*E50,2)</f>
        <v>179.6</v>
      </c>
    </row>
    <row r="51" spans="1:6" ht="15" customHeight="1">
      <c r="A51" s="31"/>
      <c r="B51" s="129" t="s">
        <v>28</v>
      </c>
      <c r="C51" s="129"/>
      <c r="D51" s="129"/>
      <c r="E51" s="129"/>
      <c r="F51" s="26">
        <f>SUM(F50:F50)</f>
        <v>179.6</v>
      </c>
    </row>
    <row r="52" spans="1:6" ht="15" customHeight="1" thickBot="1">
      <c r="A52" s="130" t="s">
        <v>25</v>
      </c>
      <c r="B52" s="130"/>
      <c r="C52" s="130"/>
      <c r="D52" s="130"/>
      <c r="E52" s="130"/>
      <c r="F52" s="36">
        <f>F48+F51</f>
        <v>195.28</v>
      </c>
    </row>
    <row r="53" spans="1:6" ht="15" customHeight="1" thickBot="1">
      <c r="A53" s="169"/>
      <c r="B53" s="169"/>
      <c r="C53" s="169"/>
      <c r="D53" s="169"/>
      <c r="E53" s="169"/>
      <c r="F53" s="169"/>
    </row>
    <row r="54" spans="1:7" ht="15" customHeight="1" thickBot="1">
      <c r="A54" s="19" t="s">
        <v>196</v>
      </c>
      <c r="B54" s="462" t="s">
        <v>142</v>
      </c>
      <c r="C54" s="463"/>
      <c r="D54" s="463"/>
      <c r="E54" s="463"/>
      <c r="F54" s="463"/>
      <c r="G54" s="137"/>
    </row>
    <row r="55" spans="1:6" ht="15" customHeight="1">
      <c r="A55" s="27" t="s">
        <v>2</v>
      </c>
      <c r="B55" s="28" t="s">
        <v>26</v>
      </c>
      <c r="C55" s="28" t="s">
        <v>20</v>
      </c>
      <c r="D55" s="29" t="s">
        <v>21</v>
      </c>
      <c r="E55" s="28" t="s">
        <v>6</v>
      </c>
      <c r="F55" s="30" t="s">
        <v>8</v>
      </c>
    </row>
    <row r="56" spans="1:6" ht="15" customHeight="1">
      <c r="A56" s="153" t="s">
        <v>259</v>
      </c>
      <c r="B56" s="147" t="s">
        <v>260</v>
      </c>
      <c r="C56" s="3" t="s">
        <v>22</v>
      </c>
      <c r="D56" s="18">
        <v>2</v>
      </c>
      <c r="E56" s="168">
        <v>15.68</v>
      </c>
      <c r="F56" s="24">
        <f>ROUND(D56*E56,2)</f>
        <v>31.36</v>
      </c>
    </row>
    <row r="57" spans="1:6" ht="15" customHeight="1">
      <c r="A57" s="22" t="s">
        <v>251</v>
      </c>
      <c r="B57" s="4" t="s">
        <v>252</v>
      </c>
      <c r="C57" s="3" t="s">
        <v>22</v>
      </c>
      <c r="D57" s="18">
        <v>2</v>
      </c>
      <c r="E57" s="25">
        <v>10.56</v>
      </c>
      <c r="F57" s="24">
        <f>ROUND(D57*E57,2)</f>
        <v>21.12</v>
      </c>
    </row>
    <row r="58" spans="1:6" ht="15" customHeight="1">
      <c r="A58" s="31"/>
      <c r="B58" s="129" t="s">
        <v>24</v>
      </c>
      <c r="C58" s="129"/>
      <c r="D58" s="129"/>
      <c r="E58" s="129"/>
      <c r="F58" s="26">
        <f>SUM(F56:F57)</f>
        <v>52.480000000000004</v>
      </c>
    </row>
    <row r="59" spans="1:6" ht="15" customHeight="1">
      <c r="A59" s="32" t="s">
        <v>2</v>
      </c>
      <c r="B59" s="33" t="s">
        <v>27</v>
      </c>
      <c r="C59" s="33" t="s">
        <v>20</v>
      </c>
      <c r="D59" s="34" t="s">
        <v>21</v>
      </c>
      <c r="E59" s="33" t="s">
        <v>6</v>
      </c>
      <c r="F59" s="35" t="s">
        <v>8</v>
      </c>
    </row>
    <row r="60" spans="1:6" ht="24" customHeight="1">
      <c r="A60" s="22" t="s">
        <v>23</v>
      </c>
      <c r="B60" s="4" t="s">
        <v>144</v>
      </c>
      <c r="C60" s="3" t="s">
        <v>10</v>
      </c>
      <c r="D60" s="18">
        <v>1</v>
      </c>
      <c r="E60" s="23">
        <f>(3372.29+4337.55+4015)/3</f>
        <v>3908.28</v>
      </c>
      <c r="F60" s="24">
        <f>ROUND(D60*E60,2)</f>
        <v>3908.28</v>
      </c>
    </row>
    <row r="61" spans="1:6" ht="15" customHeight="1">
      <c r="A61" s="22"/>
      <c r="B61" s="129" t="s">
        <v>28</v>
      </c>
      <c r="C61" s="129"/>
      <c r="D61" s="129"/>
      <c r="E61" s="129"/>
      <c r="F61" s="26">
        <f>SUM(F59:F60)</f>
        <v>3908.28</v>
      </c>
    </row>
    <row r="62" spans="1:6" ht="15" customHeight="1" thickBot="1">
      <c r="A62" s="130" t="s">
        <v>25</v>
      </c>
      <c r="B62" s="130"/>
      <c r="C62" s="130"/>
      <c r="D62" s="130"/>
      <c r="E62" s="130"/>
      <c r="F62" s="36">
        <f>F58+F61</f>
        <v>3960.76</v>
      </c>
    </row>
    <row r="63" ht="15" customHeight="1" thickBot="1"/>
    <row r="64" spans="1:6" ht="15" customHeight="1" thickBot="1">
      <c r="A64" s="232" t="s">
        <v>197</v>
      </c>
      <c r="B64" s="479" t="s">
        <v>200</v>
      </c>
      <c r="C64" s="480"/>
      <c r="D64" s="480"/>
      <c r="E64" s="480"/>
      <c r="F64" s="481"/>
    </row>
    <row r="65" spans="1:6" ht="15" customHeight="1">
      <c r="A65" s="233" t="s">
        <v>2</v>
      </c>
      <c r="B65" s="28" t="s">
        <v>26</v>
      </c>
      <c r="C65" s="28" t="s">
        <v>20</v>
      </c>
      <c r="D65" s="29" t="s">
        <v>21</v>
      </c>
      <c r="E65" s="28" t="s">
        <v>6</v>
      </c>
      <c r="F65" s="234" t="s">
        <v>8</v>
      </c>
    </row>
    <row r="66" spans="1:6" ht="15" customHeight="1">
      <c r="A66" s="235" t="s">
        <v>261</v>
      </c>
      <c r="B66" s="4" t="s">
        <v>262</v>
      </c>
      <c r="C66" s="3" t="s">
        <v>22</v>
      </c>
      <c r="D66" s="18">
        <v>0.6</v>
      </c>
      <c r="E66" s="25">
        <v>13.07</v>
      </c>
      <c r="F66" s="236">
        <f>ROUND(D66*E66,2)</f>
        <v>7.84</v>
      </c>
    </row>
    <row r="67" spans="1:6" ht="15" customHeight="1">
      <c r="A67" s="235" t="s">
        <v>263</v>
      </c>
      <c r="B67" s="4" t="s">
        <v>264</v>
      </c>
      <c r="C67" s="3" t="s">
        <v>22</v>
      </c>
      <c r="D67" s="18">
        <v>1</v>
      </c>
      <c r="E67" s="25">
        <v>11.21</v>
      </c>
      <c r="F67" s="236">
        <f>ROUND(D67*E67,2)</f>
        <v>11.21</v>
      </c>
    </row>
    <row r="68" spans="1:6" ht="15" customHeight="1">
      <c r="A68" s="237"/>
      <c r="B68" s="129" t="s">
        <v>24</v>
      </c>
      <c r="C68" s="129"/>
      <c r="D68" s="129"/>
      <c r="E68" s="129"/>
      <c r="F68" s="238">
        <f>SUM(F66:F67)</f>
        <v>19.05</v>
      </c>
    </row>
    <row r="69" spans="1:6" ht="15" customHeight="1">
      <c r="A69" s="239" t="s">
        <v>2</v>
      </c>
      <c r="B69" s="33" t="s">
        <v>27</v>
      </c>
      <c r="C69" s="33" t="s">
        <v>20</v>
      </c>
      <c r="D69" s="34" t="s">
        <v>21</v>
      </c>
      <c r="E69" s="33" t="s">
        <v>6</v>
      </c>
      <c r="F69" s="240" t="s">
        <v>8</v>
      </c>
    </row>
    <row r="70" spans="1:6" ht="25.5" customHeight="1">
      <c r="A70" s="241">
        <v>3767</v>
      </c>
      <c r="B70" s="132" t="s">
        <v>177</v>
      </c>
      <c r="C70" s="133" t="s">
        <v>16</v>
      </c>
      <c r="D70" s="134">
        <v>0.8</v>
      </c>
      <c r="E70" s="23">
        <v>0.38</v>
      </c>
      <c r="F70" s="236">
        <f>ROUND(D70*E70,2)</f>
        <v>0.3</v>
      </c>
    </row>
    <row r="71" spans="1:6" ht="15" customHeight="1">
      <c r="A71" s="241">
        <v>4047</v>
      </c>
      <c r="B71" s="132" t="s">
        <v>178</v>
      </c>
      <c r="C71" s="133" t="s">
        <v>179</v>
      </c>
      <c r="D71" s="134">
        <v>0.24</v>
      </c>
      <c r="E71" s="23">
        <v>8.44</v>
      </c>
      <c r="F71" s="236">
        <f>ROUND(D71*E71,2)</f>
        <v>2.03</v>
      </c>
    </row>
    <row r="72" spans="1:6" ht="15" customHeight="1">
      <c r="A72" s="235"/>
      <c r="B72" s="129" t="s">
        <v>28</v>
      </c>
      <c r="C72" s="129"/>
      <c r="D72" s="129"/>
      <c r="E72" s="129"/>
      <c r="F72" s="238">
        <f>SUM(F69:F70)</f>
        <v>0.3</v>
      </c>
    </row>
    <row r="73" spans="1:6" ht="15" customHeight="1" thickBot="1">
      <c r="A73" s="242" t="s">
        <v>25</v>
      </c>
      <c r="B73" s="243"/>
      <c r="C73" s="243"/>
      <c r="D73" s="243"/>
      <c r="E73" s="243"/>
      <c r="F73" s="244">
        <f>F68+F72</f>
        <v>19.35</v>
      </c>
    </row>
    <row r="74" ht="15" customHeight="1" thickBot="1"/>
    <row r="75" spans="1:7" ht="15" customHeight="1" thickBot="1">
      <c r="A75" s="19" t="s">
        <v>198</v>
      </c>
      <c r="B75" s="462" t="s">
        <v>17</v>
      </c>
      <c r="C75" s="463"/>
      <c r="D75" s="463"/>
      <c r="E75" s="463"/>
      <c r="F75" s="463"/>
      <c r="G75" s="137"/>
    </row>
    <row r="76" spans="1:6" ht="15" customHeight="1">
      <c r="A76" s="27" t="s">
        <v>2</v>
      </c>
      <c r="B76" s="28" t="s">
        <v>26</v>
      </c>
      <c r="C76" s="28" t="s">
        <v>20</v>
      </c>
      <c r="D76" s="29" t="s">
        <v>21</v>
      </c>
      <c r="E76" s="28" t="s">
        <v>6</v>
      </c>
      <c r="F76" s="30" t="s">
        <v>8</v>
      </c>
    </row>
    <row r="77" spans="1:6" ht="15" customHeight="1">
      <c r="A77" s="22" t="s">
        <v>251</v>
      </c>
      <c r="B77" s="4" t="s">
        <v>265</v>
      </c>
      <c r="C77" s="3" t="s">
        <v>22</v>
      </c>
      <c r="D77" s="18">
        <v>0.1</v>
      </c>
      <c r="E77" s="25">
        <v>10.56</v>
      </c>
      <c r="F77" s="24">
        <f>ROUND(D77*E77,2)</f>
        <v>1.06</v>
      </c>
    </row>
    <row r="78" spans="1:6" ht="15" customHeight="1">
      <c r="A78" s="31"/>
      <c r="B78" s="129" t="s">
        <v>24</v>
      </c>
      <c r="C78" s="129"/>
      <c r="D78" s="129"/>
      <c r="E78" s="129"/>
      <c r="F78" s="26">
        <f>SUM(F77:F77)</f>
        <v>1.06</v>
      </c>
    </row>
    <row r="79" spans="1:6" ht="15" customHeight="1">
      <c r="A79" s="32" t="s">
        <v>2</v>
      </c>
      <c r="B79" s="33" t="s">
        <v>27</v>
      </c>
      <c r="C79" s="33" t="s">
        <v>20</v>
      </c>
      <c r="D79" s="34" t="s">
        <v>21</v>
      </c>
      <c r="E79" s="33" t="s">
        <v>6</v>
      </c>
      <c r="F79" s="35" t="s">
        <v>8</v>
      </c>
    </row>
    <row r="80" spans="1:6" ht="25.5" customHeight="1">
      <c r="A80" s="22" t="s">
        <v>23</v>
      </c>
      <c r="B80" s="4" t="s">
        <v>17</v>
      </c>
      <c r="C80" s="3" t="s">
        <v>10</v>
      </c>
      <c r="D80" s="18">
        <v>1</v>
      </c>
      <c r="E80" s="23">
        <f>(24+48+25)/3</f>
        <v>32.333333333333336</v>
      </c>
      <c r="F80" s="24">
        <f>ROUND(D80*E80,2)</f>
        <v>32.33</v>
      </c>
    </row>
    <row r="81" spans="1:6" ht="15" customHeight="1">
      <c r="A81" s="31"/>
      <c r="B81" s="129" t="s">
        <v>28</v>
      </c>
      <c r="C81" s="129"/>
      <c r="D81" s="129"/>
      <c r="E81" s="129"/>
      <c r="F81" s="26">
        <f>SUM(F80:F80)</f>
        <v>32.33</v>
      </c>
    </row>
    <row r="82" spans="1:6" ht="15" customHeight="1" thickBot="1">
      <c r="A82" s="130" t="s">
        <v>25</v>
      </c>
      <c r="B82" s="130"/>
      <c r="C82" s="130"/>
      <c r="D82" s="130"/>
      <c r="E82" s="130"/>
      <c r="F82" s="36">
        <f>F78+F81</f>
        <v>33.39</v>
      </c>
    </row>
    <row r="83" ht="15" customHeight="1" thickBot="1"/>
    <row r="84" spans="1:7" ht="15" customHeight="1" thickBot="1">
      <c r="A84" s="19" t="s">
        <v>199</v>
      </c>
      <c r="B84" s="462" t="s">
        <v>32</v>
      </c>
      <c r="C84" s="463"/>
      <c r="D84" s="463"/>
      <c r="E84" s="463"/>
      <c r="F84" s="463"/>
      <c r="G84" s="137"/>
    </row>
    <row r="85" spans="1:6" ht="15" customHeight="1">
      <c r="A85" s="37" t="s">
        <v>2</v>
      </c>
      <c r="B85" s="28" t="s">
        <v>26</v>
      </c>
      <c r="C85" s="28" t="s">
        <v>20</v>
      </c>
      <c r="D85" s="29" t="s">
        <v>21</v>
      </c>
      <c r="E85" s="28" t="s">
        <v>6</v>
      </c>
      <c r="F85" s="30" t="s">
        <v>8</v>
      </c>
    </row>
    <row r="86" spans="1:6" ht="15" customHeight="1">
      <c r="A86" s="172">
        <v>88309</v>
      </c>
      <c r="B86" s="38" t="s">
        <v>266</v>
      </c>
      <c r="C86" s="170" t="s">
        <v>22</v>
      </c>
      <c r="D86" s="171">
        <v>1</v>
      </c>
      <c r="E86" s="39">
        <v>13.07</v>
      </c>
      <c r="F86" s="39">
        <f>D86*E86</f>
        <v>13.07</v>
      </c>
    </row>
    <row r="87" spans="1:6" ht="15" customHeight="1">
      <c r="A87" s="22" t="s">
        <v>251</v>
      </c>
      <c r="B87" s="4" t="s">
        <v>265</v>
      </c>
      <c r="C87" s="3" t="s">
        <v>22</v>
      </c>
      <c r="D87" s="18">
        <v>4.75</v>
      </c>
      <c r="E87" s="25">
        <v>10.56</v>
      </c>
      <c r="F87" s="39">
        <f>D87*E87</f>
        <v>50.160000000000004</v>
      </c>
    </row>
    <row r="88" spans="1:6" ht="15" customHeight="1">
      <c r="A88" s="31"/>
      <c r="B88" s="129" t="s">
        <v>24</v>
      </c>
      <c r="C88" s="129"/>
      <c r="D88" s="129"/>
      <c r="E88" s="129"/>
      <c r="F88" s="26">
        <f>SUM(F86:F87)</f>
        <v>63.230000000000004</v>
      </c>
    </row>
    <row r="89" spans="1:6" ht="15" customHeight="1">
      <c r="A89" s="32" t="s">
        <v>2</v>
      </c>
      <c r="B89" s="33" t="s">
        <v>27</v>
      </c>
      <c r="C89" s="33" t="s">
        <v>20</v>
      </c>
      <c r="D89" s="34" t="s">
        <v>21</v>
      </c>
      <c r="E89" s="33" t="s">
        <v>6</v>
      </c>
      <c r="F89" s="35" t="s">
        <v>8</v>
      </c>
    </row>
    <row r="90" spans="1:6" ht="15" customHeight="1">
      <c r="A90" s="3">
        <v>72142</v>
      </c>
      <c r="B90" s="6" t="s">
        <v>33</v>
      </c>
      <c r="C90" s="20" t="s">
        <v>34</v>
      </c>
      <c r="D90" s="5">
        <v>1</v>
      </c>
      <c r="E90" s="21">
        <v>6.46</v>
      </c>
      <c r="F90" s="24">
        <f>ROUND(D90*E90,2)</f>
        <v>6.46</v>
      </c>
    </row>
    <row r="91" spans="1:6" ht="15" customHeight="1">
      <c r="A91" s="40">
        <v>72143</v>
      </c>
      <c r="B91" s="6" t="s">
        <v>35</v>
      </c>
      <c r="C91" s="20" t="s">
        <v>34</v>
      </c>
      <c r="D91" s="5">
        <v>1</v>
      </c>
      <c r="E91" s="21">
        <v>31.19</v>
      </c>
      <c r="F91" s="24">
        <f>ROUND(D91*E91,2)</f>
        <v>31.19</v>
      </c>
    </row>
    <row r="92" spans="1:6" ht="22.5" customHeight="1">
      <c r="A92" s="40">
        <v>72144</v>
      </c>
      <c r="B92" s="6" t="s">
        <v>36</v>
      </c>
      <c r="C92" s="20" t="s">
        <v>34</v>
      </c>
      <c r="D92" s="5">
        <v>1</v>
      </c>
      <c r="E92" s="21">
        <v>51.67</v>
      </c>
      <c r="F92" s="24">
        <f>ROUND(D92*E92,2)</f>
        <v>51.67</v>
      </c>
    </row>
    <row r="93" spans="1:6" ht="24.75" customHeight="1">
      <c r="A93" s="40">
        <v>72146</v>
      </c>
      <c r="B93" s="6" t="s">
        <v>37</v>
      </c>
      <c r="C93" s="20" t="s">
        <v>34</v>
      </c>
      <c r="D93" s="5">
        <v>1</v>
      </c>
      <c r="E93" s="21">
        <v>32.62</v>
      </c>
      <c r="F93" s="24">
        <f>ROUND(D93*E93,2)</f>
        <v>32.62</v>
      </c>
    </row>
    <row r="94" spans="1:6" ht="15" customHeight="1">
      <c r="A94" s="31"/>
      <c r="B94" s="129" t="s">
        <v>28</v>
      </c>
      <c r="C94" s="129"/>
      <c r="D94" s="129"/>
      <c r="E94" s="129"/>
      <c r="F94" s="26">
        <f>SUM(F90:F93)</f>
        <v>121.94</v>
      </c>
    </row>
    <row r="95" spans="1:6" ht="15" customHeight="1" thickBot="1">
      <c r="A95" s="130" t="s">
        <v>25</v>
      </c>
      <c r="B95" s="130"/>
      <c r="C95" s="130"/>
      <c r="D95" s="130"/>
      <c r="E95" s="130"/>
      <c r="F95" s="36">
        <f>F88+F94</f>
        <v>185.17000000000002</v>
      </c>
    </row>
    <row r="96" s="16" customFormat="1" ht="15" customHeight="1" thickBot="1"/>
    <row r="97" spans="1:7" s="16" customFormat="1" ht="15" customHeight="1" thickBot="1">
      <c r="A97" s="19" t="s">
        <v>225</v>
      </c>
      <c r="B97" s="462" t="s">
        <v>224</v>
      </c>
      <c r="C97" s="463"/>
      <c r="D97" s="463"/>
      <c r="E97" s="463"/>
      <c r="F97" s="463"/>
      <c r="G97" s="16" t="s">
        <v>10</v>
      </c>
    </row>
    <row r="98" spans="1:7" s="16" customFormat="1" ht="45.75" customHeight="1">
      <c r="A98" s="221">
        <v>73430</v>
      </c>
      <c r="B98" s="222" t="s">
        <v>135</v>
      </c>
      <c r="C98" s="223" t="s">
        <v>74</v>
      </c>
      <c r="D98" s="5">
        <f>(1.3*1.3*1.7)*1.1</f>
        <v>3.1603000000000003</v>
      </c>
      <c r="E98" s="21">
        <v>14.69</v>
      </c>
      <c r="F98" s="24">
        <f>ROUND(D98*E98,2)</f>
        <v>46.42</v>
      </c>
      <c r="G98" s="346"/>
    </row>
    <row r="99" spans="1:7" s="16" customFormat="1" ht="13.5" customHeight="1">
      <c r="A99" s="221" t="str">
        <f>A104</f>
        <v>IFAL 11.1</v>
      </c>
      <c r="B99" s="222" t="s">
        <v>229</v>
      </c>
      <c r="C99" s="223" t="s">
        <v>74</v>
      </c>
      <c r="D99" s="5">
        <v>2.5</v>
      </c>
      <c r="E99" s="21">
        <f>F112</f>
        <v>117.08</v>
      </c>
      <c r="F99" s="24">
        <f>ROUND(D99*E99,2)</f>
        <v>292.7</v>
      </c>
      <c r="G99" s="346"/>
    </row>
    <row r="100" spans="1:7" s="16" customFormat="1" ht="15" customHeight="1">
      <c r="A100" s="351" t="s">
        <v>226</v>
      </c>
      <c r="B100" s="222" t="s">
        <v>227</v>
      </c>
      <c r="C100" s="223" t="s">
        <v>74</v>
      </c>
      <c r="D100" s="5">
        <f>1.3*1.3*1.7</f>
        <v>2.873</v>
      </c>
      <c r="E100" s="21">
        <v>352.57</v>
      </c>
      <c r="F100" s="24">
        <f>ROUND(D100*E100,2)</f>
        <v>1012.93</v>
      </c>
      <c r="G100" s="346"/>
    </row>
    <row r="101" spans="1:7" s="16" customFormat="1" ht="15" customHeight="1">
      <c r="A101" s="221" t="s">
        <v>223</v>
      </c>
      <c r="B101" s="222" t="s">
        <v>222</v>
      </c>
      <c r="C101" s="223" t="s">
        <v>74</v>
      </c>
      <c r="D101" s="5">
        <f>1.3*1.3*1.7</f>
        <v>2.873</v>
      </c>
      <c r="E101" s="21">
        <v>69.83</v>
      </c>
      <c r="F101" s="24">
        <f>ROUND(D101*E101,2)</f>
        <v>200.62</v>
      </c>
      <c r="G101" s="346"/>
    </row>
    <row r="102" spans="1:7" s="16" customFormat="1" ht="15" customHeight="1" thickBot="1">
      <c r="A102" s="130" t="s">
        <v>25</v>
      </c>
      <c r="B102" s="130"/>
      <c r="C102" s="130"/>
      <c r="D102" s="130"/>
      <c r="E102" s="130"/>
      <c r="F102" s="36">
        <f>SUM(F98:F101)</f>
        <v>1552.67</v>
      </c>
      <c r="G102" s="17"/>
    </row>
    <row r="103" spans="1:7" s="16" customFormat="1" ht="15" customHeight="1" thickBot="1">
      <c r="A103"/>
      <c r="B103"/>
      <c r="C103"/>
      <c r="D103" s="11"/>
      <c r="E103" s="12"/>
      <c r="F103" s="11"/>
      <c r="G103" s="11"/>
    </row>
    <row r="104" spans="1:7" s="16" customFormat="1" ht="15" customHeight="1" thickBot="1">
      <c r="A104" s="245" t="s">
        <v>228</v>
      </c>
      <c r="B104" s="452" t="s">
        <v>229</v>
      </c>
      <c r="C104" s="453"/>
      <c r="D104" s="453"/>
      <c r="E104" s="453"/>
      <c r="F104" s="454"/>
      <c r="G104" s="11" t="s">
        <v>74</v>
      </c>
    </row>
    <row r="105" spans="1:7" s="16" customFormat="1" ht="15" customHeight="1">
      <c r="A105" s="246" t="s">
        <v>2</v>
      </c>
      <c r="B105" s="33" t="s">
        <v>26</v>
      </c>
      <c r="C105" s="33" t="s">
        <v>20</v>
      </c>
      <c r="D105" s="34" t="s">
        <v>21</v>
      </c>
      <c r="E105" s="33" t="s">
        <v>6</v>
      </c>
      <c r="F105" s="240" t="s">
        <v>8</v>
      </c>
      <c r="G105" s="11"/>
    </row>
    <row r="106" spans="1:7" s="16" customFormat="1" ht="15" customHeight="1">
      <c r="A106" s="247">
        <v>90776</v>
      </c>
      <c r="B106" s="38" t="s">
        <v>267</v>
      </c>
      <c r="C106" s="170" t="s">
        <v>22</v>
      </c>
      <c r="D106" s="171">
        <v>1</v>
      </c>
      <c r="E106" s="25">
        <v>14.38</v>
      </c>
      <c r="F106" s="249">
        <f>D106*E106</f>
        <v>14.38</v>
      </c>
      <c r="G106" s="11"/>
    </row>
    <row r="107" spans="1:7" s="16" customFormat="1" ht="15" customHeight="1">
      <c r="A107" s="235" t="s">
        <v>251</v>
      </c>
      <c r="B107" s="4" t="s">
        <v>265</v>
      </c>
      <c r="C107" s="3" t="s">
        <v>22</v>
      </c>
      <c r="D107" s="18">
        <v>3</v>
      </c>
      <c r="E107" s="25">
        <v>10.56</v>
      </c>
      <c r="F107" s="249">
        <f>D107*E107</f>
        <v>31.68</v>
      </c>
      <c r="G107" s="11"/>
    </row>
    <row r="108" spans="1:7" s="16" customFormat="1" ht="15" customHeight="1">
      <c r="A108" s="237"/>
      <c r="B108" s="129" t="s">
        <v>24</v>
      </c>
      <c r="C108" s="129"/>
      <c r="D108" s="129"/>
      <c r="E108" s="129"/>
      <c r="F108" s="238">
        <f>SUM(F106:F107)</f>
        <v>46.06</v>
      </c>
      <c r="G108" s="11"/>
    </row>
    <row r="109" spans="1:7" s="16" customFormat="1" ht="15" customHeight="1">
      <c r="A109" s="239" t="s">
        <v>2</v>
      </c>
      <c r="B109" s="33" t="s">
        <v>27</v>
      </c>
      <c r="C109" s="33" t="s">
        <v>20</v>
      </c>
      <c r="D109" s="34" t="s">
        <v>21</v>
      </c>
      <c r="E109" s="33" t="s">
        <v>6</v>
      </c>
      <c r="F109" s="240" t="s">
        <v>8</v>
      </c>
      <c r="G109" s="11"/>
    </row>
    <row r="110" spans="1:7" s="16" customFormat="1" ht="30" customHeight="1">
      <c r="A110" s="250">
        <v>4730</v>
      </c>
      <c r="B110" s="6" t="s">
        <v>230</v>
      </c>
      <c r="C110" s="20" t="s">
        <v>74</v>
      </c>
      <c r="D110" s="5">
        <v>1</v>
      </c>
      <c r="E110" s="21">
        <v>71.02</v>
      </c>
      <c r="F110" s="236">
        <f>ROUND(D110*E110,2)</f>
        <v>71.02</v>
      </c>
      <c r="G110" s="347"/>
    </row>
    <row r="111" spans="1:7" s="16" customFormat="1" ht="15" customHeight="1">
      <c r="A111" s="237"/>
      <c r="B111" s="129" t="s">
        <v>28</v>
      </c>
      <c r="C111" s="129"/>
      <c r="D111" s="129"/>
      <c r="E111" s="129"/>
      <c r="F111" s="238">
        <f>SUM(F110:F110)</f>
        <v>71.02</v>
      </c>
      <c r="G111" s="11"/>
    </row>
    <row r="112" spans="1:7" s="16" customFormat="1" ht="15" customHeight="1" thickBot="1">
      <c r="A112" s="242" t="s">
        <v>25</v>
      </c>
      <c r="B112" s="243"/>
      <c r="C112" s="243"/>
      <c r="D112" s="243"/>
      <c r="E112" s="243"/>
      <c r="F112" s="244">
        <f>F108+F111</f>
        <v>117.08</v>
      </c>
      <c r="G112" s="11"/>
    </row>
    <row r="113" spans="1:7" s="16" customFormat="1" ht="15" customHeight="1" thickBot="1">
      <c r="A113"/>
      <c r="B113"/>
      <c r="C113"/>
      <c r="D113" s="11"/>
      <c r="E113" s="12"/>
      <c r="F113" s="11"/>
      <c r="G113" s="11"/>
    </row>
    <row r="114" spans="1:7" s="16" customFormat="1" ht="29.25" customHeight="1" thickBot="1">
      <c r="A114" s="245" t="s">
        <v>235</v>
      </c>
      <c r="B114" s="452" t="s">
        <v>239</v>
      </c>
      <c r="C114" s="453"/>
      <c r="D114" s="453"/>
      <c r="E114" s="453"/>
      <c r="F114" s="454"/>
      <c r="G114" s="11"/>
    </row>
    <row r="115" spans="1:7" s="16" customFormat="1" ht="15" customHeight="1">
      <c r="A115" s="246" t="s">
        <v>2</v>
      </c>
      <c r="B115" s="33" t="s">
        <v>26</v>
      </c>
      <c r="C115" s="33" t="s">
        <v>20</v>
      </c>
      <c r="D115" s="34" t="s">
        <v>21</v>
      </c>
      <c r="E115" s="33" t="s">
        <v>6</v>
      </c>
      <c r="F115" s="240" t="s">
        <v>8</v>
      </c>
      <c r="G115" s="11"/>
    </row>
    <row r="116" spans="1:7" s="16" customFormat="1" ht="15" customHeight="1">
      <c r="A116" s="247" t="s">
        <v>236</v>
      </c>
      <c r="B116" s="38" t="s">
        <v>268</v>
      </c>
      <c r="C116" s="170" t="s">
        <v>22</v>
      </c>
      <c r="D116" s="171">
        <v>0.28</v>
      </c>
      <c r="E116" s="248">
        <v>5.45</v>
      </c>
      <c r="F116" s="249">
        <f>D116*E116</f>
        <v>1.5260000000000002</v>
      </c>
      <c r="G116" s="347"/>
    </row>
    <row r="117" spans="1:7" s="16" customFormat="1" ht="15" customHeight="1">
      <c r="A117" s="235" t="s">
        <v>251</v>
      </c>
      <c r="B117" s="4" t="s">
        <v>265</v>
      </c>
      <c r="C117" s="3" t="s">
        <v>22</v>
      </c>
      <c r="D117" s="18">
        <v>0.28</v>
      </c>
      <c r="E117" s="25">
        <v>10.56</v>
      </c>
      <c r="F117" s="249">
        <f>D117*E117</f>
        <v>2.9568000000000003</v>
      </c>
      <c r="G117" s="347"/>
    </row>
    <row r="118" spans="1:7" s="16" customFormat="1" ht="15" customHeight="1">
      <c r="A118" s="237"/>
      <c r="B118" s="129" t="s">
        <v>24</v>
      </c>
      <c r="C118" s="129"/>
      <c r="D118" s="129"/>
      <c r="E118" s="129"/>
      <c r="F118" s="238">
        <f>SUM(F116:F117)</f>
        <v>4.482800000000001</v>
      </c>
      <c r="G118" s="11"/>
    </row>
    <row r="119" spans="1:7" s="16" customFormat="1" ht="15" customHeight="1">
      <c r="A119" s="239" t="s">
        <v>2</v>
      </c>
      <c r="B119" s="33" t="s">
        <v>27</v>
      </c>
      <c r="C119" s="33" t="s">
        <v>20</v>
      </c>
      <c r="D119" s="34" t="s">
        <v>21</v>
      </c>
      <c r="E119" s="33" t="s">
        <v>6</v>
      </c>
      <c r="F119" s="240" t="s">
        <v>8</v>
      </c>
      <c r="G119" s="11"/>
    </row>
    <row r="120" spans="1:7" s="16" customFormat="1" ht="26.25" customHeight="1">
      <c r="A120" s="250" t="s">
        <v>237</v>
      </c>
      <c r="B120" s="6" t="s">
        <v>214</v>
      </c>
      <c r="C120" s="20" t="s">
        <v>13</v>
      </c>
      <c r="D120" s="5">
        <v>1</v>
      </c>
      <c r="E120" s="21">
        <v>8.6</v>
      </c>
      <c r="F120" s="236">
        <f>ROUND(D120*E120,2)</f>
        <v>8.6</v>
      </c>
      <c r="G120" s="347"/>
    </row>
    <row r="121" spans="1:7" s="16" customFormat="1" ht="57" customHeight="1">
      <c r="A121" s="348" t="s">
        <v>215</v>
      </c>
      <c r="B121" s="6" t="s">
        <v>238</v>
      </c>
      <c r="C121" s="20" t="s">
        <v>34</v>
      </c>
      <c r="D121" s="225">
        <f>8/1300</f>
        <v>0.006153846153846154</v>
      </c>
      <c r="E121" s="21">
        <v>543.11</v>
      </c>
      <c r="F121" s="236">
        <f>ROUND(D121*E121,2)</f>
        <v>3.34</v>
      </c>
      <c r="G121" s="347"/>
    </row>
    <row r="122" spans="1:7" s="16" customFormat="1" ht="15" customHeight="1">
      <c r="A122" s="237"/>
      <c r="B122" s="129" t="s">
        <v>28</v>
      </c>
      <c r="C122" s="129"/>
      <c r="D122" s="129"/>
      <c r="E122" s="129"/>
      <c r="F122" s="238">
        <f>SUM(F120:F121)</f>
        <v>11.94</v>
      </c>
      <c r="G122" s="347"/>
    </row>
    <row r="123" spans="1:7" s="16" customFormat="1" ht="15" customHeight="1" thickBot="1">
      <c r="A123" s="242" t="s">
        <v>25</v>
      </c>
      <c r="B123" s="243"/>
      <c r="C123" s="243"/>
      <c r="D123" s="243"/>
      <c r="E123" s="243"/>
      <c r="F123" s="244">
        <f>F118+F122</f>
        <v>16.422800000000002</v>
      </c>
      <c r="G123" s="11"/>
    </row>
    <row r="124" spans="1:7" s="16" customFormat="1" ht="15" customHeight="1" thickBot="1">
      <c r="A124"/>
      <c r="B124"/>
      <c r="C124"/>
      <c r="D124" s="11"/>
      <c r="E124" s="12"/>
      <c r="F124" s="11"/>
      <c r="G124" s="11"/>
    </row>
    <row r="125" spans="1:6" ht="15" customHeight="1" thickBot="1">
      <c r="A125" s="245" t="s">
        <v>248</v>
      </c>
      <c r="B125" s="452" t="s">
        <v>113</v>
      </c>
      <c r="C125" s="453"/>
      <c r="D125" s="453"/>
      <c r="E125" s="453"/>
      <c r="F125" s="454"/>
    </row>
    <row r="126" spans="1:6" ht="15" customHeight="1">
      <c r="A126" s="246" t="s">
        <v>2</v>
      </c>
      <c r="B126" s="33" t="s">
        <v>26</v>
      </c>
      <c r="C126" s="33" t="s">
        <v>20</v>
      </c>
      <c r="D126" s="34" t="s">
        <v>21</v>
      </c>
      <c r="E126" s="33" t="s">
        <v>6</v>
      </c>
      <c r="F126" s="240" t="s">
        <v>8</v>
      </c>
    </row>
    <row r="127" spans="1:6" ht="15" customHeight="1">
      <c r="A127" s="247" t="s">
        <v>249</v>
      </c>
      <c r="B127" s="38" t="s">
        <v>250</v>
      </c>
      <c r="C127" s="170" t="s">
        <v>22</v>
      </c>
      <c r="D127" s="230">
        <v>0.0725</v>
      </c>
      <c r="E127" s="25">
        <v>14.38</v>
      </c>
      <c r="F127" s="249">
        <f>D127*E127</f>
        <v>1.04255</v>
      </c>
    </row>
    <row r="128" spans="1:6" ht="15" customHeight="1">
      <c r="A128" s="247">
        <v>88267</v>
      </c>
      <c r="B128" s="38" t="s">
        <v>253</v>
      </c>
      <c r="C128" s="170" t="s">
        <v>22</v>
      </c>
      <c r="D128" s="230">
        <v>0.2176</v>
      </c>
      <c r="E128" s="248">
        <v>15.68</v>
      </c>
      <c r="F128" s="249">
        <f>D128*E128</f>
        <v>3.411968</v>
      </c>
    </row>
    <row r="129" spans="1:6" ht="15" customHeight="1">
      <c r="A129" s="235" t="s">
        <v>251</v>
      </c>
      <c r="B129" s="4" t="s">
        <v>252</v>
      </c>
      <c r="C129" s="3" t="s">
        <v>22</v>
      </c>
      <c r="D129" s="231">
        <v>0.4352</v>
      </c>
      <c r="E129" s="25">
        <v>10.56</v>
      </c>
      <c r="F129" s="249">
        <f>D129*E129</f>
        <v>4.595712</v>
      </c>
    </row>
    <row r="130" spans="1:6" ht="15" customHeight="1">
      <c r="A130" s="237"/>
      <c r="B130" s="129" t="s">
        <v>24</v>
      </c>
      <c r="C130" s="129"/>
      <c r="D130" s="129"/>
      <c r="E130" s="129"/>
      <c r="F130" s="238">
        <f>SUM(F127:F129)</f>
        <v>9.050229999999999</v>
      </c>
    </row>
    <row r="131" spans="1:6" ht="15" customHeight="1">
      <c r="A131" s="239" t="s">
        <v>2</v>
      </c>
      <c r="B131" s="33" t="s">
        <v>27</v>
      </c>
      <c r="C131" s="33" t="s">
        <v>20</v>
      </c>
      <c r="D131" s="34" t="s">
        <v>21</v>
      </c>
      <c r="E131" s="33" t="s">
        <v>6</v>
      </c>
      <c r="F131" s="240" t="s">
        <v>8</v>
      </c>
    </row>
    <row r="132" spans="1:6" ht="15" customHeight="1">
      <c r="A132" s="348" t="s">
        <v>441</v>
      </c>
      <c r="B132" s="6" t="s">
        <v>113</v>
      </c>
      <c r="C132" s="20" t="s">
        <v>254</v>
      </c>
      <c r="D132" s="5">
        <v>1</v>
      </c>
      <c r="E132" s="21">
        <v>192.89</v>
      </c>
      <c r="F132" s="236">
        <f>ROUND(D132*E132,2)</f>
        <v>192.89</v>
      </c>
    </row>
    <row r="133" spans="1:6" ht="15" customHeight="1">
      <c r="A133" s="237"/>
      <c r="B133" s="129" t="s">
        <v>28</v>
      </c>
      <c r="C133" s="129"/>
      <c r="D133" s="129"/>
      <c r="E133" s="129"/>
      <c r="F133" s="238">
        <f>SUM(F132:F132)</f>
        <v>192.89</v>
      </c>
    </row>
    <row r="134" spans="1:6" ht="15" customHeight="1" thickBot="1">
      <c r="A134" s="242" t="s">
        <v>25</v>
      </c>
      <c r="B134" s="243"/>
      <c r="C134" s="243"/>
      <c r="D134" s="243"/>
      <c r="E134" s="243"/>
      <c r="F134" s="244">
        <f>F130+F133</f>
        <v>201.94022999999999</v>
      </c>
    </row>
    <row r="135" ht="15" customHeight="1" thickBot="1"/>
    <row r="136" spans="1:6" ht="15" customHeight="1" thickBot="1">
      <c r="A136" s="352" t="s">
        <v>255</v>
      </c>
      <c r="B136" s="464" t="s">
        <v>113</v>
      </c>
      <c r="C136" s="465"/>
      <c r="D136" s="465"/>
      <c r="E136" s="465"/>
      <c r="F136" s="466"/>
    </row>
    <row r="137" spans="1:6" ht="15" customHeight="1">
      <c r="A137" s="353" t="s">
        <v>2</v>
      </c>
      <c r="B137" s="354" t="s">
        <v>26</v>
      </c>
      <c r="C137" s="354" t="s">
        <v>20</v>
      </c>
      <c r="D137" s="355" t="s">
        <v>21</v>
      </c>
      <c r="E137" s="354" t="s">
        <v>6</v>
      </c>
      <c r="F137" s="356" t="s">
        <v>8</v>
      </c>
    </row>
    <row r="138" spans="1:6" ht="15" customHeight="1">
      <c r="A138" s="247" t="s">
        <v>249</v>
      </c>
      <c r="B138" s="38" t="s">
        <v>250</v>
      </c>
      <c r="C138" s="170" t="s">
        <v>22</v>
      </c>
      <c r="D138" s="230">
        <v>0.0725</v>
      </c>
      <c r="E138" s="25">
        <v>14.38</v>
      </c>
      <c r="F138" s="249">
        <f>D138*E138</f>
        <v>1.04255</v>
      </c>
    </row>
    <row r="139" spans="1:6" ht="15" customHeight="1">
      <c r="A139" s="247">
        <v>88267</v>
      </c>
      <c r="B139" s="38" t="s">
        <v>253</v>
      </c>
      <c r="C139" s="170" t="s">
        <v>22</v>
      </c>
      <c r="D139" s="230">
        <v>0.2176</v>
      </c>
      <c r="E139" s="248">
        <v>15.68</v>
      </c>
      <c r="F139" s="249">
        <f>D139*E139</f>
        <v>3.411968</v>
      </c>
    </row>
    <row r="140" spans="1:6" ht="15" customHeight="1">
      <c r="A140" s="235" t="s">
        <v>251</v>
      </c>
      <c r="B140" s="4" t="s">
        <v>252</v>
      </c>
      <c r="C140" s="3" t="s">
        <v>22</v>
      </c>
      <c r="D140" s="231">
        <v>0.4352</v>
      </c>
      <c r="E140" s="25">
        <v>10.56</v>
      </c>
      <c r="F140" s="249">
        <f>D140*E140</f>
        <v>4.595712</v>
      </c>
    </row>
    <row r="141" spans="1:6" ht="15" customHeight="1">
      <c r="A141" s="237"/>
      <c r="B141" s="129" t="s">
        <v>24</v>
      </c>
      <c r="C141" s="129"/>
      <c r="D141" s="129"/>
      <c r="E141" s="129"/>
      <c r="F141" s="238">
        <f>SUM(F138:F140)</f>
        <v>9.050229999999999</v>
      </c>
    </row>
    <row r="142" spans="1:6" ht="15" customHeight="1">
      <c r="A142" s="239" t="s">
        <v>2</v>
      </c>
      <c r="B142" s="33" t="s">
        <v>27</v>
      </c>
      <c r="C142" s="33" t="s">
        <v>20</v>
      </c>
      <c r="D142" s="34" t="s">
        <v>21</v>
      </c>
      <c r="E142" s="33" t="s">
        <v>6</v>
      </c>
      <c r="F142" s="240" t="s">
        <v>8</v>
      </c>
    </row>
    <row r="143" spans="1:7" ht="15" customHeight="1">
      <c r="A143" s="348" t="s">
        <v>257</v>
      </c>
      <c r="B143" s="6" t="s">
        <v>112</v>
      </c>
      <c r="C143" s="20" t="s">
        <v>254</v>
      </c>
      <c r="D143" s="5">
        <v>1</v>
      </c>
      <c r="E143" s="21">
        <v>42.46</v>
      </c>
      <c r="F143" s="236">
        <f>ROUND(D143*E143,2)</f>
        <v>42.46</v>
      </c>
      <c r="G143" s="347"/>
    </row>
    <row r="144" spans="1:6" ht="15" customHeight="1">
      <c r="A144" s="237"/>
      <c r="B144" s="129" t="s">
        <v>28</v>
      </c>
      <c r="C144" s="129"/>
      <c r="D144" s="129"/>
      <c r="E144" s="129"/>
      <c r="F144" s="238">
        <f>SUM(F143:F143)</f>
        <v>42.46</v>
      </c>
    </row>
    <row r="145" spans="1:6" ht="15" customHeight="1" thickBot="1">
      <c r="A145" s="242" t="s">
        <v>25</v>
      </c>
      <c r="B145" s="243"/>
      <c r="C145" s="243"/>
      <c r="D145" s="243"/>
      <c r="E145" s="243"/>
      <c r="F145" s="244">
        <f>F141+F144</f>
        <v>51.51023</v>
      </c>
    </row>
    <row r="146" ht="15" customHeight="1" thickBot="1"/>
    <row r="147" spans="1:6" ht="25.5" customHeight="1" thickBot="1">
      <c r="A147" s="224" t="s">
        <v>282</v>
      </c>
      <c r="B147" s="452" t="s">
        <v>283</v>
      </c>
      <c r="C147" s="453"/>
      <c r="D147" s="453"/>
      <c r="E147" s="453"/>
      <c r="F147" s="454"/>
    </row>
    <row r="148" spans="1:6" ht="15" customHeight="1">
      <c r="A148" s="37" t="s">
        <v>285</v>
      </c>
      <c r="B148" s="33" t="s">
        <v>284</v>
      </c>
      <c r="C148" s="33" t="s">
        <v>20</v>
      </c>
      <c r="D148" s="34" t="s">
        <v>288</v>
      </c>
      <c r="E148" s="33" t="s">
        <v>6</v>
      </c>
      <c r="F148" s="35" t="s">
        <v>8</v>
      </c>
    </row>
    <row r="149" spans="1:6" ht="15" customHeight="1">
      <c r="A149" s="172"/>
      <c r="B149" s="38" t="s">
        <v>287</v>
      </c>
      <c r="C149" s="170" t="s">
        <v>286</v>
      </c>
      <c r="D149" s="260">
        <v>2</v>
      </c>
      <c r="E149" s="39">
        <v>6000</v>
      </c>
      <c r="F149" s="39">
        <f>D149*E149</f>
        <v>12000</v>
      </c>
    </row>
    <row r="150" spans="1:6" ht="15" customHeight="1">
      <c r="A150" s="172"/>
      <c r="B150" s="38" t="s">
        <v>289</v>
      </c>
      <c r="C150" s="170" t="s">
        <v>286</v>
      </c>
      <c r="D150" s="260">
        <v>2</v>
      </c>
      <c r="E150" s="39">
        <v>5129</v>
      </c>
      <c r="F150" s="39">
        <f>D150*E150</f>
        <v>10258</v>
      </c>
    </row>
    <row r="151" spans="1:6" ht="15" customHeight="1">
      <c r="A151" s="31"/>
      <c r="B151" s="129" t="s">
        <v>24</v>
      </c>
      <c r="C151" s="129"/>
      <c r="D151" s="129"/>
      <c r="E151" s="129"/>
      <c r="F151" s="26">
        <f>SUM(F149:F150)</f>
        <v>22258</v>
      </c>
    </row>
    <row r="152" spans="1:6" ht="15" customHeight="1">
      <c r="A152" s="261"/>
      <c r="B152" s="262" t="s">
        <v>290</v>
      </c>
      <c r="C152" s="262"/>
      <c r="D152" s="262"/>
      <c r="E152" s="262"/>
      <c r="F152" s="263">
        <f>F151/2</f>
        <v>11129</v>
      </c>
    </row>
    <row r="153" spans="1:6" ht="15" customHeight="1" thickBot="1">
      <c r="A153" s="130" t="s">
        <v>25</v>
      </c>
      <c r="B153" s="130"/>
      <c r="C153" s="130"/>
      <c r="D153" s="130"/>
      <c r="E153" s="130"/>
      <c r="F153" s="36">
        <f>F152</f>
        <v>11129</v>
      </c>
    </row>
    <row r="154" ht="15" customHeight="1" thickBot="1"/>
    <row r="155" spans="1:6" ht="15" customHeight="1">
      <c r="A155" s="270" t="s">
        <v>258</v>
      </c>
      <c r="B155" s="464" t="s">
        <v>352</v>
      </c>
      <c r="C155" s="465"/>
      <c r="D155" s="465"/>
      <c r="E155" s="465"/>
      <c r="F155" s="466"/>
    </row>
    <row r="156" spans="1:6" ht="15" customHeight="1">
      <c r="A156" s="271" t="s">
        <v>2</v>
      </c>
      <c r="B156" s="143" t="s">
        <v>26</v>
      </c>
      <c r="C156" s="143" t="s">
        <v>20</v>
      </c>
      <c r="D156" s="144" t="s">
        <v>21</v>
      </c>
      <c r="E156" s="143" t="s">
        <v>6</v>
      </c>
      <c r="F156" s="143" t="s">
        <v>8</v>
      </c>
    </row>
    <row r="157" spans="1:6" ht="15" customHeight="1">
      <c r="A157" s="272" t="s">
        <v>300</v>
      </c>
      <c r="B157" s="132" t="s">
        <v>301</v>
      </c>
      <c r="C157" s="148" t="s">
        <v>302</v>
      </c>
      <c r="D157" s="149">
        <v>70</v>
      </c>
      <c r="E157" s="145">
        <v>13.07</v>
      </c>
      <c r="F157" s="273">
        <f>D157*E157</f>
        <v>914.9</v>
      </c>
    </row>
    <row r="158" spans="1:6" ht="15" customHeight="1">
      <c r="A158" s="272" t="s">
        <v>303</v>
      </c>
      <c r="B158" s="147" t="s">
        <v>304</v>
      </c>
      <c r="C158" s="148" t="s">
        <v>302</v>
      </c>
      <c r="D158" s="149">
        <v>70</v>
      </c>
      <c r="E158" s="25">
        <v>10.56</v>
      </c>
      <c r="F158" s="273">
        <f>D158*E158</f>
        <v>739.2</v>
      </c>
    </row>
    <row r="159" spans="1:6" ht="15" customHeight="1">
      <c r="A159" s="272" t="s">
        <v>305</v>
      </c>
      <c r="B159" s="147" t="s">
        <v>306</v>
      </c>
      <c r="C159" s="148" t="s">
        <v>302</v>
      </c>
      <c r="D159" s="149">
        <v>70</v>
      </c>
      <c r="E159" s="145">
        <v>15.68</v>
      </c>
      <c r="F159" s="273">
        <f>D159*E159</f>
        <v>1097.6</v>
      </c>
    </row>
    <row r="160" spans="1:6" ht="15" customHeight="1">
      <c r="A160" s="272" t="s">
        <v>307</v>
      </c>
      <c r="B160" s="147" t="s">
        <v>308</v>
      </c>
      <c r="C160" s="148" t="s">
        <v>302</v>
      </c>
      <c r="D160" s="149">
        <v>10</v>
      </c>
      <c r="E160" s="25">
        <v>13.07</v>
      </c>
      <c r="F160" s="273">
        <f>D160*E160</f>
        <v>130.7</v>
      </c>
    </row>
    <row r="161" spans="1:6" ht="15" customHeight="1">
      <c r="A161" s="274"/>
      <c r="B161" s="161" t="s">
        <v>24</v>
      </c>
      <c r="C161" s="161"/>
      <c r="D161" s="161"/>
      <c r="E161" s="161"/>
      <c r="F161" s="275">
        <f>SUM(F157:F160)</f>
        <v>2882.3999999999996</v>
      </c>
    </row>
    <row r="162" spans="1:6" ht="15" customHeight="1">
      <c r="A162" s="271" t="s">
        <v>2</v>
      </c>
      <c r="B162" s="143" t="s">
        <v>309</v>
      </c>
      <c r="C162" s="143" t="s">
        <v>20</v>
      </c>
      <c r="D162" s="144" t="s">
        <v>21</v>
      </c>
      <c r="E162" s="143" t="s">
        <v>6</v>
      </c>
      <c r="F162" s="143" t="s">
        <v>8</v>
      </c>
    </row>
    <row r="163" spans="1:7" ht="35.25" customHeight="1">
      <c r="A163" s="357" t="s">
        <v>310</v>
      </c>
      <c r="B163" s="276" t="s">
        <v>311</v>
      </c>
      <c r="C163" s="148" t="s">
        <v>20</v>
      </c>
      <c r="D163" s="149">
        <v>1</v>
      </c>
      <c r="E163" s="145">
        <v>3691.85</v>
      </c>
      <c r="F163" s="273">
        <f aca="true" t="shared" si="0" ref="F163:F184">D163*E163</f>
        <v>3691.85</v>
      </c>
      <c r="G163" s="347"/>
    </row>
    <row r="164" spans="1:6" ht="15" customHeight="1">
      <c r="A164" s="272" t="s">
        <v>444</v>
      </c>
      <c r="B164" s="147" t="s">
        <v>312</v>
      </c>
      <c r="C164" s="148" t="s">
        <v>313</v>
      </c>
      <c r="D164" s="149">
        <v>100</v>
      </c>
      <c r="E164" s="145">
        <v>0.48</v>
      </c>
      <c r="F164" s="273">
        <f t="shared" si="0"/>
        <v>48</v>
      </c>
    </row>
    <row r="165" spans="1:6" ht="15" customHeight="1">
      <c r="A165" s="272" t="s">
        <v>314</v>
      </c>
      <c r="B165" s="284" t="s">
        <v>315</v>
      </c>
      <c r="C165" s="148" t="s">
        <v>20</v>
      </c>
      <c r="D165" s="149">
        <v>4</v>
      </c>
      <c r="E165" s="145">
        <v>2.9</v>
      </c>
      <c r="F165" s="273">
        <f t="shared" si="0"/>
        <v>11.6</v>
      </c>
    </row>
    <row r="166" spans="1:6" ht="15" customHeight="1">
      <c r="A166" s="272" t="s">
        <v>445</v>
      </c>
      <c r="B166" s="147" t="s">
        <v>316</v>
      </c>
      <c r="C166" s="148" t="s">
        <v>20</v>
      </c>
      <c r="D166" s="149">
        <v>4</v>
      </c>
      <c r="E166" s="145">
        <v>38.39</v>
      </c>
      <c r="F166" s="273">
        <f t="shared" si="0"/>
        <v>153.56</v>
      </c>
    </row>
    <row r="167" spans="1:6" ht="15">
      <c r="A167" s="272" t="s">
        <v>447</v>
      </c>
      <c r="B167" s="349" t="s">
        <v>446</v>
      </c>
      <c r="C167" s="148" t="s">
        <v>20</v>
      </c>
      <c r="D167" s="149">
        <v>12</v>
      </c>
      <c r="E167" s="145">
        <v>3.96</v>
      </c>
      <c r="F167" s="273">
        <f t="shared" si="0"/>
        <v>47.519999999999996</v>
      </c>
    </row>
    <row r="168" spans="1:6" ht="15" customHeight="1">
      <c r="A168" s="272" t="s">
        <v>448</v>
      </c>
      <c r="B168" s="147" t="s">
        <v>317</v>
      </c>
      <c r="C168" s="148" t="s">
        <v>20</v>
      </c>
      <c r="D168" s="149">
        <v>2</v>
      </c>
      <c r="E168" s="145">
        <v>16.84</v>
      </c>
      <c r="F168" s="273">
        <f t="shared" si="0"/>
        <v>33.68</v>
      </c>
    </row>
    <row r="169" spans="1:6" ht="15" customHeight="1">
      <c r="A169" s="357" t="s">
        <v>318</v>
      </c>
      <c r="B169" s="358" t="s">
        <v>319</v>
      </c>
      <c r="C169" s="359" t="s">
        <v>20</v>
      </c>
      <c r="D169" s="360">
        <v>15</v>
      </c>
      <c r="E169" s="361">
        <v>8.51</v>
      </c>
      <c r="F169" s="362">
        <f t="shared" si="0"/>
        <v>127.64999999999999</v>
      </c>
    </row>
    <row r="170" spans="1:6" ht="15" customHeight="1">
      <c r="A170" s="272" t="s">
        <v>320</v>
      </c>
      <c r="B170" s="147" t="s">
        <v>321</v>
      </c>
      <c r="C170" s="148" t="s">
        <v>20</v>
      </c>
      <c r="D170" s="149">
        <v>5</v>
      </c>
      <c r="E170" s="145">
        <v>7.13</v>
      </c>
      <c r="F170" s="273">
        <f t="shared" si="0"/>
        <v>35.65</v>
      </c>
    </row>
    <row r="171" spans="1:6" ht="15" customHeight="1">
      <c r="A171" s="272" t="s">
        <v>322</v>
      </c>
      <c r="B171" s="285" t="s">
        <v>323</v>
      </c>
      <c r="C171" s="148" t="s">
        <v>20</v>
      </c>
      <c r="D171" s="149">
        <v>2</v>
      </c>
      <c r="E171" s="145">
        <v>6.23</v>
      </c>
      <c r="F171" s="273">
        <f t="shared" si="0"/>
        <v>12.46</v>
      </c>
    </row>
    <row r="172" spans="1:6" ht="15" customHeight="1">
      <c r="A172" s="272" t="s">
        <v>324</v>
      </c>
      <c r="B172" s="147" t="s">
        <v>325</v>
      </c>
      <c r="C172" s="148" t="s">
        <v>20</v>
      </c>
      <c r="D172" s="149">
        <v>14</v>
      </c>
      <c r="E172" s="145">
        <v>67.49</v>
      </c>
      <c r="F172" s="273">
        <f t="shared" si="0"/>
        <v>944.8599999999999</v>
      </c>
    </row>
    <row r="173" spans="1:6" ht="15" customHeight="1">
      <c r="A173" s="272" t="s">
        <v>326</v>
      </c>
      <c r="B173" s="147" t="s">
        <v>327</v>
      </c>
      <c r="C173" s="148" t="s">
        <v>20</v>
      </c>
      <c r="D173" s="149">
        <v>13</v>
      </c>
      <c r="E173" s="145">
        <v>100.9</v>
      </c>
      <c r="F173" s="273">
        <f t="shared" si="0"/>
        <v>1311.7</v>
      </c>
    </row>
    <row r="174" spans="1:6" ht="15" customHeight="1">
      <c r="A174" s="272" t="s">
        <v>328</v>
      </c>
      <c r="B174" s="147" t="s">
        <v>329</v>
      </c>
      <c r="C174" s="148" t="s">
        <v>20</v>
      </c>
      <c r="D174" s="149">
        <v>12</v>
      </c>
      <c r="E174" s="145">
        <v>3.04</v>
      </c>
      <c r="F174" s="273">
        <f t="shared" si="0"/>
        <v>36.480000000000004</v>
      </c>
    </row>
    <row r="175" spans="1:6" ht="25.5" customHeight="1">
      <c r="A175" s="272" t="s">
        <v>330</v>
      </c>
      <c r="B175" s="147" t="s">
        <v>331</v>
      </c>
      <c r="C175" s="148" t="s">
        <v>20</v>
      </c>
      <c r="D175" s="149">
        <v>13</v>
      </c>
      <c r="E175" s="145">
        <v>19.2</v>
      </c>
      <c r="F175" s="273">
        <f t="shared" si="0"/>
        <v>249.6</v>
      </c>
    </row>
    <row r="176" spans="1:6" ht="15" customHeight="1">
      <c r="A176" s="272" t="s">
        <v>332</v>
      </c>
      <c r="B176" s="285" t="s">
        <v>333</v>
      </c>
      <c r="C176" s="148" t="s">
        <v>20</v>
      </c>
      <c r="D176" s="149">
        <v>1</v>
      </c>
      <c r="E176" s="145">
        <v>261.02</v>
      </c>
      <c r="F176" s="273">
        <f t="shared" si="0"/>
        <v>261.02</v>
      </c>
    </row>
    <row r="177" spans="1:6" ht="22.5" customHeight="1">
      <c r="A177" s="272" t="s">
        <v>334</v>
      </c>
      <c r="B177" s="147" t="s">
        <v>335</v>
      </c>
      <c r="C177" s="148" t="s">
        <v>20</v>
      </c>
      <c r="D177" s="149">
        <v>4</v>
      </c>
      <c r="E177" s="145">
        <v>17.83</v>
      </c>
      <c r="F177" s="273">
        <f t="shared" si="0"/>
        <v>71.32</v>
      </c>
    </row>
    <row r="178" spans="1:6" ht="15" customHeight="1">
      <c r="A178" s="272" t="s">
        <v>336</v>
      </c>
      <c r="B178" s="147" t="s">
        <v>337</v>
      </c>
      <c r="C178" s="148" t="s">
        <v>338</v>
      </c>
      <c r="D178" s="149">
        <v>0.8</v>
      </c>
      <c r="E178" s="145">
        <v>50</v>
      </c>
      <c r="F178" s="273">
        <f t="shared" si="0"/>
        <v>40</v>
      </c>
    </row>
    <row r="179" spans="1:6" ht="15" customHeight="1">
      <c r="A179" s="272" t="s">
        <v>339</v>
      </c>
      <c r="B179" s="147" t="s">
        <v>340</v>
      </c>
      <c r="C179" s="148" t="s">
        <v>341</v>
      </c>
      <c r="D179" s="149">
        <v>15</v>
      </c>
      <c r="E179" s="145">
        <v>21.4</v>
      </c>
      <c r="F179" s="273">
        <f t="shared" si="0"/>
        <v>321</v>
      </c>
    </row>
    <row r="180" spans="1:6" ht="24.75" customHeight="1">
      <c r="A180" s="272" t="s">
        <v>342</v>
      </c>
      <c r="B180" s="147" t="s">
        <v>343</v>
      </c>
      <c r="C180" s="148" t="s">
        <v>344</v>
      </c>
      <c r="D180" s="149">
        <f>'Memória de cálculos'!D57</f>
        <v>107.146</v>
      </c>
      <c r="E180" s="145">
        <v>12.41</v>
      </c>
      <c r="F180" s="273">
        <f t="shared" si="0"/>
        <v>1329.68186</v>
      </c>
    </row>
    <row r="181" spans="1:6" ht="15" customHeight="1">
      <c r="A181" s="272" t="s">
        <v>345</v>
      </c>
      <c r="B181" s="285" t="s">
        <v>346</v>
      </c>
      <c r="C181" s="148" t="s">
        <v>20</v>
      </c>
      <c r="D181" s="149">
        <v>2</v>
      </c>
      <c r="E181" s="145">
        <v>7.62</v>
      </c>
      <c r="F181" s="273">
        <f t="shared" si="0"/>
        <v>15.24</v>
      </c>
    </row>
    <row r="182" spans="1:6" ht="37.5" customHeight="1">
      <c r="A182" s="272" t="s">
        <v>347</v>
      </c>
      <c r="B182" s="284" t="s">
        <v>348</v>
      </c>
      <c r="C182" s="148" t="s">
        <v>20</v>
      </c>
      <c r="D182" s="149">
        <v>2</v>
      </c>
      <c r="E182" s="145">
        <v>79.65</v>
      </c>
      <c r="F182" s="273">
        <f t="shared" si="0"/>
        <v>159.3</v>
      </c>
    </row>
    <row r="183" spans="1:6" ht="15" customHeight="1">
      <c r="A183" s="272" t="s">
        <v>349</v>
      </c>
      <c r="B183" s="147" t="s">
        <v>350</v>
      </c>
      <c r="C183" s="148" t="s">
        <v>74</v>
      </c>
      <c r="D183" s="149">
        <v>0.2</v>
      </c>
      <c r="E183" s="145">
        <v>236.59</v>
      </c>
      <c r="F183" s="273">
        <f t="shared" si="0"/>
        <v>47.318000000000005</v>
      </c>
    </row>
    <row r="184" spans="1:6" ht="15" customHeight="1">
      <c r="A184" s="272" t="s">
        <v>354</v>
      </c>
      <c r="B184" s="147" t="s">
        <v>353</v>
      </c>
      <c r="C184" s="148" t="s">
        <v>20</v>
      </c>
      <c r="D184" s="149">
        <v>4</v>
      </c>
      <c r="E184" s="145">
        <v>86.85</v>
      </c>
      <c r="F184" s="273">
        <f t="shared" si="0"/>
        <v>347.4</v>
      </c>
    </row>
    <row r="185" spans="1:6" ht="15" customHeight="1">
      <c r="A185" s="274"/>
      <c r="B185" s="161" t="s">
        <v>28</v>
      </c>
      <c r="C185" s="161"/>
      <c r="D185" s="161"/>
      <c r="E185" s="161"/>
      <c r="F185" s="275">
        <f>SUM(F163:F184)</f>
        <v>9296.889859999997</v>
      </c>
    </row>
    <row r="186" spans="1:6" ht="15" customHeight="1">
      <c r="A186" s="455" t="s">
        <v>25</v>
      </c>
      <c r="B186" s="455"/>
      <c r="C186" s="455"/>
      <c r="D186" s="455"/>
      <c r="E186" s="455"/>
      <c r="F186" s="277">
        <f>F185+F161</f>
        <v>12179.289859999997</v>
      </c>
    </row>
    <row r="187" ht="15" customHeight="1" thickBot="1"/>
    <row r="188" spans="1:6" ht="15" customHeight="1" thickBot="1">
      <c r="A188" s="224" t="s">
        <v>351</v>
      </c>
      <c r="B188" s="452" t="s">
        <v>361</v>
      </c>
      <c r="C188" s="453"/>
      <c r="D188" s="453"/>
      <c r="E188" s="453"/>
      <c r="F188" s="454"/>
    </row>
    <row r="189" spans="1:6" ht="15" customHeight="1">
      <c r="A189" s="286" t="s">
        <v>2</v>
      </c>
      <c r="B189" s="287" t="s">
        <v>26</v>
      </c>
      <c r="C189" s="287" t="s">
        <v>20</v>
      </c>
      <c r="D189" s="288" t="s">
        <v>21</v>
      </c>
      <c r="E189" s="287" t="s">
        <v>6</v>
      </c>
      <c r="F189" s="289" t="s">
        <v>8</v>
      </c>
    </row>
    <row r="190" spans="1:6" ht="15" customHeight="1">
      <c r="A190" s="292">
        <v>90778</v>
      </c>
      <c r="B190" s="293" t="s">
        <v>366</v>
      </c>
      <c r="C190" s="294" t="s">
        <v>22</v>
      </c>
      <c r="D190" s="295">
        <v>5</v>
      </c>
      <c r="E190" s="273">
        <v>79.75</v>
      </c>
      <c r="F190" s="273">
        <f>D190*E190</f>
        <v>398.75</v>
      </c>
    </row>
    <row r="191" spans="1:6" ht="15" customHeight="1">
      <c r="A191" s="292" t="s">
        <v>305</v>
      </c>
      <c r="B191" s="293" t="s">
        <v>306</v>
      </c>
      <c r="C191" s="294" t="s">
        <v>22</v>
      </c>
      <c r="D191" s="295">
        <v>20</v>
      </c>
      <c r="E191" s="273">
        <v>15.68</v>
      </c>
      <c r="F191" s="273">
        <f>D191*E191</f>
        <v>313.6</v>
      </c>
    </row>
    <row r="192" spans="1:6" ht="15" customHeight="1">
      <c r="A192" s="292" t="s">
        <v>303</v>
      </c>
      <c r="B192" s="293" t="s">
        <v>304</v>
      </c>
      <c r="C192" s="294" t="s">
        <v>22</v>
      </c>
      <c r="D192" s="295">
        <v>20</v>
      </c>
      <c r="E192" s="25">
        <v>10.56</v>
      </c>
      <c r="F192" s="273">
        <f>D192*E192</f>
        <v>211.20000000000002</v>
      </c>
    </row>
    <row r="193" spans="1:8" ht="15" customHeight="1">
      <c r="A193" s="296" t="s">
        <v>151</v>
      </c>
      <c r="B193" s="297" t="s">
        <v>152</v>
      </c>
      <c r="C193" s="148" t="s">
        <v>56</v>
      </c>
      <c r="D193" s="298">
        <v>1</v>
      </c>
      <c r="E193" s="145">
        <v>178.34</v>
      </c>
      <c r="F193" s="273">
        <f>D193*E193</f>
        <v>178.34</v>
      </c>
      <c r="G193" s="477"/>
      <c r="H193" s="471"/>
    </row>
    <row r="194" spans="1:6" ht="15" customHeight="1">
      <c r="A194" s="274"/>
      <c r="B194" s="161" t="s">
        <v>24</v>
      </c>
      <c r="C194" s="161"/>
      <c r="D194" s="161"/>
      <c r="E194" s="161"/>
      <c r="F194" s="275">
        <f>SUM(F190:F193)</f>
        <v>1101.89</v>
      </c>
    </row>
    <row r="195" spans="1:6" ht="15" customHeight="1" thickBot="1">
      <c r="A195" s="290" t="s">
        <v>25</v>
      </c>
      <c r="B195" s="290"/>
      <c r="C195" s="290"/>
      <c r="D195" s="290"/>
      <c r="E195" s="290"/>
      <c r="F195" s="291">
        <f>F194</f>
        <v>1101.89</v>
      </c>
    </row>
    <row r="196" ht="15" customHeight="1" thickBot="1"/>
    <row r="197" spans="1:6" ht="15" customHeight="1" thickBot="1">
      <c r="A197" s="224" t="s">
        <v>360</v>
      </c>
      <c r="B197" s="452" t="s">
        <v>355</v>
      </c>
      <c r="C197" s="453"/>
      <c r="D197" s="453"/>
      <c r="E197" s="453"/>
      <c r="F197" s="454"/>
    </row>
    <row r="198" spans="1:6" ht="15" customHeight="1">
      <c r="A198" s="37" t="s">
        <v>2</v>
      </c>
      <c r="B198" s="33" t="s">
        <v>26</v>
      </c>
      <c r="C198" s="33" t="s">
        <v>20</v>
      </c>
      <c r="D198" s="34" t="s">
        <v>21</v>
      </c>
      <c r="E198" s="33" t="s">
        <v>6</v>
      </c>
      <c r="F198" s="35" t="s">
        <v>8</v>
      </c>
    </row>
    <row r="199" spans="1:6" ht="15" customHeight="1">
      <c r="A199" s="22" t="s">
        <v>190</v>
      </c>
      <c r="B199" s="38" t="s">
        <v>148</v>
      </c>
      <c r="C199" s="170" t="s">
        <v>22</v>
      </c>
      <c r="D199" s="230">
        <v>20</v>
      </c>
      <c r="E199" s="145">
        <v>63.11</v>
      </c>
      <c r="F199" s="39">
        <f>D199*E199</f>
        <v>1262.2</v>
      </c>
    </row>
    <row r="200" spans="1:6" ht="15" customHeight="1">
      <c r="A200" s="281">
        <v>88597</v>
      </c>
      <c r="B200" s="38" t="s">
        <v>150</v>
      </c>
      <c r="C200" s="170" t="s">
        <v>22</v>
      </c>
      <c r="D200" s="230">
        <v>16</v>
      </c>
      <c r="E200" s="39">
        <v>12.12</v>
      </c>
      <c r="F200" s="39">
        <f>D200*E200</f>
        <v>193.92</v>
      </c>
    </row>
    <row r="201" spans="1:8" ht="15" customHeight="1">
      <c r="A201" s="282" t="s">
        <v>151</v>
      </c>
      <c r="B201" s="283" t="s">
        <v>152</v>
      </c>
      <c r="C201" s="3" t="s">
        <v>56</v>
      </c>
      <c r="D201" s="231">
        <v>1</v>
      </c>
      <c r="E201" s="25">
        <v>74.37</v>
      </c>
      <c r="F201" s="39">
        <f>D201*E201</f>
        <v>74.37</v>
      </c>
      <c r="G201" s="477"/>
      <c r="H201" s="471"/>
    </row>
    <row r="202" spans="1:8" ht="15" customHeight="1">
      <c r="A202" s="282" t="s">
        <v>153</v>
      </c>
      <c r="B202" s="283" t="s">
        <v>154</v>
      </c>
      <c r="C202" s="3" t="s">
        <v>277</v>
      </c>
      <c r="D202" s="231">
        <v>5.5</v>
      </c>
      <c r="E202" s="25">
        <v>6</v>
      </c>
      <c r="F202" s="39">
        <f>D202*E202</f>
        <v>33</v>
      </c>
      <c r="G202" s="477"/>
      <c r="H202" s="471"/>
    </row>
    <row r="203" spans="1:6" ht="15" customHeight="1">
      <c r="A203" s="31"/>
      <c r="B203" s="129" t="s">
        <v>24</v>
      </c>
      <c r="C203" s="129"/>
      <c r="D203" s="129"/>
      <c r="E203" s="129"/>
      <c r="F203" s="26">
        <f>SUM(F199:F201)</f>
        <v>1530.4900000000002</v>
      </c>
    </row>
    <row r="204" spans="1:6" ht="15" customHeight="1" thickBot="1">
      <c r="A204" s="130" t="s">
        <v>25</v>
      </c>
      <c r="B204" s="130"/>
      <c r="C204" s="130"/>
      <c r="D204" s="130"/>
      <c r="E204" s="130"/>
      <c r="F204" s="36">
        <f>F203</f>
        <v>1530.4900000000002</v>
      </c>
    </row>
    <row r="205" ht="15" customHeight="1" thickBot="1"/>
    <row r="206" spans="1:6" ht="15" customHeight="1" thickBot="1">
      <c r="A206" s="224" t="s">
        <v>365</v>
      </c>
      <c r="B206" s="452" t="s">
        <v>368</v>
      </c>
      <c r="C206" s="453"/>
      <c r="D206" s="453"/>
      <c r="E206" s="453"/>
      <c r="F206" s="454"/>
    </row>
    <row r="207" spans="1:6" ht="15" customHeight="1">
      <c r="A207" s="37" t="s">
        <v>2</v>
      </c>
      <c r="B207" s="33" t="s">
        <v>26</v>
      </c>
      <c r="C207" s="33" t="s">
        <v>20</v>
      </c>
      <c r="D207" s="34" t="s">
        <v>21</v>
      </c>
      <c r="E207" s="33" t="s">
        <v>6</v>
      </c>
      <c r="F207" s="35" t="s">
        <v>8</v>
      </c>
    </row>
    <row r="208" spans="1:6" ht="15" customHeight="1">
      <c r="A208" s="272" t="s">
        <v>300</v>
      </c>
      <c r="B208" s="132" t="s">
        <v>301</v>
      </c>
      <c r="C208" s="148" t="s">
        <v>302</v>
      </c>
      <c r="D208" s="149">
        <v>0.4</v>
      </c>
      <c r="E208" s="145">
        <v>13.07</v>
      </c>
      <c r="F208" s="273">
        <f>D208*E208</f>
        <v>5.228000000000001</v>
      </c>
    </row>
    <row r="209" spans="1:6" ht="15" customHeight="1">
      <c r="A209" s="292" t="s">
        <v>303</v>
      </c>
      <c r="B209" s="293" t="s">
        <v>304</v>
      </c>
      <c r="C209" s="294" t="s">
        <v>22</v>
      </c>
      <c r="D209" s="295">
        <v>0.4</v>
      </c>
      <c r="E209" s="25">
        <v>10.56</v>
      </c>
      <c r="F209" s="273">
        <f>D209*E209</f>
        <v>4.224</v>
      </c>
    </row>
    <row r="210" spans="1:6" ht="15" customHeight="1">
      <c r="A210" s="274"/>
      <c r="B210" s="161" t="s">
        <v>24</v>
      </c>
      <c r="C210" s="161"/>
      <c r="D210" s="161"/>
      <c r="E210" s="161"/>
      <c r="F210" s="275">
        <f>SUM(F208:F209)</f>
        <v>9.452000000000002</v>
      </c>
    </row>
    <row r="211" spans="1:6" ht="15" customHeight="1">
      <c r="A211" s="271" t="s">
        <v>2</v>
      </c>
      <c r="B211" s="143" t="s">
        <v>309</v>
      </c>
      <c r="C211" s="143" t="s">
        <v>20</v>
      </c>
      <c r="D211" s="144" t="s">
        <v>21</v>
      </c>
      <c r="E211" s="143" t="s">
        <v>6</v>
      </c>
      <c r="F211" s="143" t="s">
        <v>8</v>
      </c>
    </row>
    <row r="212" spans="1:6" ht="39.75" customHeight="1">
      <c r="A212" s="303" t="s">
        <v>369</v>
      </c>
      <c r="B212" s="304" t="s">
        <v>370</v>
      </c>
      <c r="C212" s="148" t="s">
        <v>74</v>
      </c>
      <c r="D212" s="298">
        <v>0.025</v>
      </c>
      <c r="E212" s="145">
        <v>262.04</v>
      </c>
      <c r="F212" s="273">
        <f>D212*E212</f>
        <v>6.551000000000001</v>
      </c>
    </row>
    <row r="213" spans="1:6" ht="15" customHeight="1">
      <c r="A213" s="274"/>
      <c r="B213" s="161" t="s">
        <v>28</v>
      </c>
      <c r="C213" s="161"/>
      <c r="D213" s="161"/>
      <c r="E213" s="161"/>
      <c r="F213" s="275">
        <f>F212</f>
        <v>6.551000000000001</v>
      </c>
    </row>
    <row r="214" spans="1:6" ht="15" customHeight="1" thickBot="1">
      <c r="A214" s="290" t="s">
        <v>25</v>
      </c>
      <c r="B214" s="290"/>
      <c r="C214" s="290"/>
      <c r="D214" s="290"/>
      <c r="E214" s="290"/>
      <c r="F214" s="291">
        <f>F213+F210</f>
        <v>16.003000000000004</v>
      </c>
    </row>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c r="B225" s="266" t="s">
        <v>291</v>
      </c>
    </row>
    <row r="226" ht="15" customHeight="1">
      <c r="B226" s="266" t="s">
        <v>292</v>
      </c>
    </row>
    <row r="227" ht="15" customHeight="1">
      <c r="B227" s="345" t="s">
        <v>293</v>
      </c>
    </row>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sheetData>
  <sheetProtection selectLockedCells="1" selectUnlockedCells="1"/>
  <mergeCells count="36">
    <mergeCell ref="G201:H201"/>
    <mergeCell ref="G202:H202"/>
    <mergeCell ref="D5:E5"/>
    <mergeCell ref="G193:H193"/>
    <mergeCell ref="B84:F84"/>
    <mergeCell ref="B97:F97"/>
    <mergeCell ref="B104:F104"/>
    <mergeCell ref="B64:F64"/>
    <mergeCell ref="B75:F75"/>
    <mergeCell ref="A44:F44"/>
    <mergeCell ref="A23:E23"/>
    <mergeCell ref="B45:F45"/>
    <mergeCell ref="B147:F147"/>
    <mergeCell ref="B114:F114"/>
    <mergeCell ref="B125:F125"/>
    <mergeCell ref="B136:F136"/>
    <mergeCell ref="G7:H7"/>
    <mergeCell ref="B54:F54"/>
    <mergeCell ref="B36:F36"/>
    <mergeCell ref="B25:F25"/>
    <mergeCell ref="B197:F197"/>
    <mergeCell ref="B188:F188"/>
    <mergeCell ref="A33:E33"/>
    <mergeCell ref="A29:E29"/>
    <mergeCell ref="B15:F15"/>
    <mergeCell ref="A18:E18"/>
    <mergeCell ref="B206:F206"/>
    <mergeCell ref="A186:E186"/>
    <mergeCell ref="A1:F1"/>
    <mergeCell ref="A2:F2"/>
    <mergeCell ref="A3:C3"/>
    <mergeCell ref="A11:E11"/>
    <mergeCell ref="B6:F6"/>
    <mergeCell ref="B155:F155"/>
    <mergeCell ref="D4:E4"/>
    <mergeCell ref="B20:F20"/>
  </mergeCells>
  <printOptions horizontalCentered="1" verticalCentered="1"/>
  <pageMargins left="0.1968503937007874" right="0.1968503937007874" top="0.7480314960629921" bottom="0.7480314960629921" header="0.5118110236220472" footer="0.5118110236220472"/>
  <pageSetup fitToHeight="0"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2:D65"/>
  <sheetViews>
    <sheetView zoomScalePageLayoutView="0" workbookViewId="0" topLeftCell="A19">
      <selection activeCell="D65" sqref="A1:D65"/>
    </sheetView>
  </sheetViews>
  <sheetFormatPr defaultColWidth="9.140625" defaultRowHeight="15"/>
  <cols>
    <col min="2" max="2" width="40.421875" style="0" customWidth="1"/>
  </cols>
  <sheetData>
    <row r="2" spans="1:4" ht="21">
      <c r="A2" s="485" t="s">
        <v>438</v>
      </c>
      <c r="B2" s="485"/>
      <c r="C2" s="485"/>
      <c r="D2" s="485"/>
    </row>
    <row r="3" spans="1:4" ht="15">
      <c r="A3" s="328" t="s">
        <v>1</v>
      </c>
      <c r="B3" s="328" t="s">
        <v>3</v>
      </c>
      <c r="C3" s="328" t="s">
        <v>4</v>
      </c>
      <c r="D3" s="328" t="s">
        <v>5</v>
      </c>
    </row>
    <row r="4" spans="1:4" ht="15">
      <c r="A4" s="325" t="str">
        <f>'PLANILHA UNIFICADA'!A24</f>
        <v>2.6</v>
      </c>
      <c r="B4" s="325" t="s">
        <v>383</v>
      </c>
      <c r="C4" s="326" t="s">
        <v>14</v>
      </c>
      <c r="D4" s="327">
        <f>SUM(D5:D15)</f>
        <v>201.39999999999998</v>
      </c>
    </row>
    <row r="5" spans="1:4" ht="15">
      <c r="A5" s="329"/>
      <c r="B5" s="307" t="s">
        <v>373</v>
      </c>
      <c r="C5" s="136" t="s">
        <v>14</v>
      </c>
      <c r="D5" s="322">
        <v>4</v>
      </c>
    </row>
    <row r="6" spans="1:4" ht="15">
      <c r="A6" s="329"/>
      <c r="B6" s="307" t="s">
        <v>374</v>
      </c>
      <c r="C6" s="136" t="s">
        <v>14</v>
      </c>
      <c r="D6" s="322">
        <v>3.9</v>
      </c>
    </row>
    <row r="7" spans="1:4" ht="15">
      <c r="A7" s="329"/>
      <c r="B7" s="307" t="s">
        <v>362</v>
      </c>
      <c r="C7" s="136" t="s">
        <v>14</v>
      </c>
      <c r="D7" s="322">
        <v>53</v>
      </c>
    </row>
    <row r="8" spans="1:4" ht="15">
      <c r="A8" s="329"/>
      <c r="B8" s="307" t="s">
        <v>363</v>
      </c>
      <c r="C8" s="136" t="s">
        <v>14</v>
      </c>
      <c r="D8" s="322">
        <v>34.66</v>
      </c>
    </row>
    <row r="9" spans="1:4" ht="15">
      <c r="A9" s="329"/>
      <c r="B9" s="307" t="s">
        <v>375</v>
      </c>
      <c r="C9" s="136" t="s">
        <v>14</v>
      </c>
      <c r="D9" s="322">
        <v>19.23</v>
      </c>
    </row>
    <row r="10" spans="1:4" ht="15">
      <c r="A10" s="329"/>
      <c r="B10" s="307" t="s">
        <v>376</v>
      </c>
      <c r="C10" s="136" t="s">
        <v>14</v>
      </c>
      <c r="D10" s="322">
        <v>9.1</v>
      </c>
    </row>
    <row r="11" spans="1:4" ht="15">
      <c r="A11" s="329"/>
      <c r="B11" s="307" t="s">
        <v>377</v>
      </c>
      <c r="C11" s="136" t="s">
        <v>14</v>
      </c>
      <c r="D11" s="322">
        <v>8</v>
      </c>
    </row>
    <row r="12" spans="1:4" ht="15">
      <c r="A12" s="329"/>
      <c r="B12" s="307" t="s">
        <v>378</v>
      </c>
      <c r="C12" s="136" t="s">
        <v>14</v>
      </c>
      <c r="D12" s="322">
        <v>7.68</v>
      </c>
    </row>
    <row r="13" spans="1:4" ht="15">
      <c r="A13" s="329"/>
      <c r="B13" s="307" t="s">
        <v>379</v>
      </c>
      <c r="C13" s="136" t="s">
        <v>14</v>
      </c>
      <c r="D13" s="322">
        <v>13.66</v>
      </c>
    </row>
    <row r="14" spans="1:4" ht="15">
      <c r="A14" s="329"/>
      <c r="B14" s="307" t="s">
        <v>380</v>
      </c>
      <c r="C14" s="136" t="s">
        <v>14</v>
      </c>
      <c r="D14" s="322">
        <v>26.92</v>
      </c>
    </row>
    <row r="15" spans="1:4" ht="15">
      <c r="A15" s="329"/>
      <c r="B15" s="307" t="s">
        <v>381</v>
      </c>
      <c r="C15" s="136" t="s">
        <v>14</v>
      </c>
      <c r="D15" s="322">
        <v>21.25</v>
      </c>
    </row>
    <row r="16" spans="1:4" ht="26.25">
      <c r="A16" s="325" t="str">
        <f>'PLANILHA UNIFICADA'!A25</f>
        <v>2.7</v>
      </c>
      <c r="B16" s="323" t="s">
        <v>294</v>
      </c>
      <c r="C16" s="324" t="s">
        <v>13</v>
      </c>
      <c r="D16" s="325">
        <f>SUM(D17:D18)</f>
        <v>63.400000000000006</v>
      </c>
    </row>
    <row r="17" spans="1:4" ht="15">
      <c r="A17" s="329"/>
      <c r="B17" s="320" t="s">
        <v>362</v>
      </c>
      <c r="C17" s="136" t="s">
        <v>13</v>
      </c>
      <c r="D17" s="313">
        <f>(2.1+1.2+2.4+1.6+1+0.5+2.5+0.7+1+4.7+0.5)</f>
        <v>18.2</v>
      </c>
    </row>
    <row r="18" spans="1:4" ht="30">
      <c r="A18" s="329"/>
      <c r="B18" s="320" t="s">
        <v>364</v>
      </c>
      <c r="C18" s="136" t="s">
        <v>13</v>
      </c>
      <c r="D18" s="313">
        <f>(2.6+1.2+5.1+1+0.7+4.05+3.25+0.5+12.7+0.5+0.5+3.65+3.85+1.1+1.1+0.7+0.7+1+1)</f>
        <v>45.2</v>
      </c>
    </row>
    <row r="19" spans="1:4" ht="15">
      <c r="A19" s="325" t="str">
        <f>'PLANILHA UNIFICADA'!A30</f>
        <v>3.2</v>
      </c>
      <c r="B19" s="342" t="s">
        <v>269</v>
      </c>
      <c r="C19" s="326" t="s">
        <v>74</v>
      </c>
      <c r="D19" s="343">
        <f>SUM(D20:D21)</f>
        <v>484.43600000000004</v>
      </c>
    </row>
    <row r="20" spans="1:4" ht="15">
      <c r="A20" s="329"/>
      <c r="B20" s="307" t="s">
        <v>434</v>
      </c>
      <c r="C20" s="136" t="s">
        <v>74</v>
      </c>
      <c r="D20" s="322">
        <f>D16*0.3*0.3</f>
        <v>5.7059999999999995</v>
      </c>
    </row>
    <row r="21" spans="1:4" ht="15">
      <c r="A21" s="329"/>
      <c r="B21" s="307" t="s">
        <v>435</v>
      </c>
      <c r="C21" s="136" t="s">
        <v>74</v>
      </c>
      <c r="D21" s="322">
        <v>478.73</v>
      </c>
    </row>
    <row r="22" spans="1:4" ht="22.5">
      <c r="A22" s="325" t="str">
        <f>'PLANILHA UNIFICADA'!A33</f>
        <v>4.1</v>
      </c>
      <c r="B22" s="330" t="s">
        <v>357</v>
      </c>
      <c r="C22" s="326" t="s">
        <v>74</v>
      </c>
      <c r="D22" s="331">
        <f>D23+D24</f>
        <v>1.076</v>
      </c>
    </row>
    <row r="23" spans="1:4" ht="15">
      <c r="A23" s="329"/>
      <c r="B23" s="307" t="s">
        <v>396</v>
      </c>
      <c r="C23" s="136" t="s">
        <v>74</v>
      </c>
      <c r="D23" s="313">
        <f>D16*0.3*0.05</f>
        <v>0.9510000000000001</v>
      </c>
    </row>
    <row r="24" spans="1:4" ht="15">
      <c r="A24" s="329"/>
      <c r="B24" s="307" t="s">
        <v>395</v>
      </c>
      <c r="C24" s="136" t="s">
        <v>74</v>
      </c>
      <c r="D24" s="322">
        <f>2.5*0.05</f>
        <v>0.125</v>
      </c>
    </row>
    <row r="25" spans="1:4" ht="22.5">
      <c r="A25" s="329"/>
      <c r="B25" s="278" t="s">
        <v>359</v>
      </c>
      <c r="C25" s="136" t="s">
        <v>74</v>
      </c>
      <c r="D25" s="321">
        <f>SUM(D26:D37)</f>
        <v>205.39999999999998</v>
      </c>
    </row>
    <row r="26" spans="1:4" ht="15">
      <c r="A26" s="329"/>
      <c r="B26" s="307" t="s">
        <v>373</v>
      </c>
      <c r="C26" s="136" t="s">
        <v>74</v>
      </c>
      <c r="D26" s="322">
        <v>4</v>
      </c>
    </row>
    <row r="27" spans="1:4" ht="15">
      <c r="A27" s="329"/>
      <c r="B27" s="307" t="s">
        <v>374</v>
      </c>
      <c r="C27" s="136" t="s">
        <v>74</v>
      </c>
      <c r="D27" s="322">
        <v>3.9</v>
      </c>
    </row>
    <row r="28" spans="1:4" ht="15">
      <c r="A28" s="329"/>
      <c r="B28" s="307" t="s">
        <v>362</v>
      </c>
      <c r="C28" s="136" t="s">
        <v>74</v>
      </c>
      <c r="D28" s="322">
        <v>53</v>
      </c>
    </row>
    <row r="29" spans="1:4" ht="15">
      <c r="A29" s="329"/>
      <c r="B29" s="307" t="s">
        <v>363</v>
      </c>
      <c r="C29" s="136" t="s">
        <v>74</v>
      </c>
      <c r="D29" s="322">
        <v>34.66</v>
      </c>
    </row>
    <row r="30" spans="1:4" ht="15">
      <c r="A30" s="329"/>
      <c r="B30" s="307" t="s">
        <v>375</v>
      </c>
      <c r="C30" s="136" t="s">
        <v>74</v>
      </c>
      <c r="D30" s="322">
        <v>19.23</v>
      </c>
    </row>
    <row r="31" spans="1:4" ht="15">
      <c r="A31" s="329"/>
      <c r="B31" s="307" t="s">
        <v>376</v>
      </c>
      <c r="C31" s="136" t="s">
        <v>74</v>
      </c>
      <c r="D31" s="322">
        <v>9.1</v>
      </c>
    </row>
    <row r="32" spans="1:4" ht="15">
      <c r="A32" s="329"/>
      <c r="B32" s="307" t="s">
        <v>377</v>
      </c>
      <c r="C32" s="136" t="s">
        <v>74</v>
      </c>
      <c r="D32" s="322">
        <v>8</v>
      </c>
    </row>
    <row r="33" spans="1:4" ht="15">
      <c r="A33" s="329"/>
      <c r="B33" s="307" t="s">
        <v>378</v>
      </c>
      <c r="C33" s="136" t="s">
        <v>74</v>
      </c>
      <c r="D33" s="322">
        <v>7.68</v>
      </c>
    </row>
    <row r="34" spans="1:4" ht="15">
      <c r="A34" s="329"/>
      <c r="B34" s="307" t="s">
        <v>379</v>
      </c>
      <c r="C34" s="136" t="s">
        <v>74</v>
      </c>
      <c r="D34" s="322">
        <v>13.66</v>
      </c>
    </row>
    <row r="35" spans="1:4" ht="15">
      <c r="A35" s="329"/>
      <c r="B35" s="307" t="s">
        <v>380</v>
      </c>
      <c r="C35" s="136" t="s">
        <v>74</v>
      </c>
      <c r="D35" s="322">
        <v>26.92</v>
      </c>
    </row>
    <row r="36" spans="1:4" ht="15">
      <c r="A36" s="329"/>
      <c r="B36" s="307" t="s">
        <v>381</v>
      </c>
      <c r="C36" s="136" t="s">
        <v>74</v>
      </c>
      <c r="D36" s="322">
        <v>21.25</v>
      </c>
    </row>
    <row r="37" spans="1:4" ht="15">
      <c r="A37" s="329"/>
      <c r="B37" s="307" t="s">
        <v>382</v>
      </c>
      <c r="C37" s="136" t="s">
        <v>74</v>
      </c>
      <c r="D37" s="322">
        <v>4</v>
      </c>
    </row>
    <row r="38" spans="1:4" ht="56.25">
      <c r="A38" s="333" t="str">
        <f>'PLANILHA UNIFICADA'!A35</f>
        <v>4.3</v>
      </c>
      <c r="B38" s="332" t="s">
        <v>371</v>
      </c>
      <c r="C38" s="334" t="s">
        <v>14</v>
      </c>
      <c r="D38" s="335">
        <f>SUM(D39:D49)</f>
        <v>201.39999999999998</v>
      </c>
    </row>
    <row r="39" spans="1:4" ht="15">
      <c r="A39" s="329"/>
      <c r="B39" s="307" t="s">
        <v>373</v>
      </c>
      <c r="C39" s="136" t="s">
        <v>14</v>
      </c>
      <c r="D39" s="322">
        <v>4</v>
      </c>
    </row>
    <row r="40" spans="1:4" ht="15">
      <c r="A40" s="329"/>
      <c r="B40" s="307" t="s">
        <v>374</v>
      </c>
      <c r="C40" s="136" t="s">
        <v>14</v>
      </c>
      <c r="D40" s="322">
        <v>3.9</v>
      </c>
    </row>
    <row r="41" spans="1:4" ht="15">
      <c r="A41" s="329"/>
      <c r="B41" s="307" t="s">
        <v>362</v>
      </c>
      <c r="C41" s="136" t="s">
        <v>14</v>
      </c>
      <c r="D41" s="322">
        <v>53</v>
      </c>
    </row>
    <row r="42" spans="1:4" ht="15">
      <c r="A42" s="329"/>
      <c r="B42" s="307" t="s">
        <v>363</v>
      </c>
      <c r="C42" s="136" t="s">
        <v>14</v>
      </c>
      <c r="D42" s="322">
        <v>34.66</v>
      </c>
    </row>
    <row r="43" spans="1:4" ht="15">
      <c r="A43" s="329"/>
      <c r="B43" s="307" t="s">
        <v>375</v>
      </c>
      <c r="C43" s="136" t="s">
        <v>14</v>
      </c>
      <c r="D43" s="322">
        <v>19.23</v>
      </c>
    </row>
    <row r="44" spans="1:4" ht="15">
      <c r="A44" s="329"/>
      <c r="B44" s="307" t="s">
        <v>376</v>
      </c>
      <c r="C44" s="136" t="s">
        <v>14</v>
      </c>
      <c r="D44" s="322">
        <v>9.1</v>
      </c>
    </row>
    <row r="45" spans="1:4" ht="15">
      <c r="A45" s="329"/>
      <c r="B45" s="307" t="s">
        <v>377</v>
      </c>
      <c r="C45" s="136" t="s">
        <v>14</v>
      </c>
      <c r="D45" s="322">
        <v>8</v>
      </c>
    </row>
    <row r="46" spans="1:4" ht="15">
      <c r="A46" s="329"/>
      <c r="B46" s="307" t="s">
        <v>378</v>
      </c>
      <c r="C46" s="136" t="s">
        <v>14</v>
      </c>
      <c r="D46" s="322">
        <v>7.68</v>
      </c>
    </row>
    <row r="47" spans="1:4" ht="15">
      <c r="A47" s="329"/>
      <c r="B47" s="307" t="s">
        <v>379</v>
      </c>
      <c r="C47" s="136" t="s">
        <v>14</v>
      </c>
      <c r="D47" s="322">
        <v>13.66</v>
      </c>
    </row>
    <row r="48" spans="1:4" ht="15">
      <c r="A48" s="329"/>
      <c r="B48" s="307" t="s">
        <v>380</v>
      </c>
      <c r="C48" s="136" t="s">
        <v>14</v>
      </c>
      <c r="D48" s="322">
        <v>26.92</v>
      </c>
    </row>
    <row r="49" spans="1:4" ht="15">
      <c r="A49" s="329"/>
      <c r="B49" s="307" t="s">
        <v>381</v>
      </c>
      <c r="C49" s="136" t="s">
        <v>14</v>
      </c>
      <c r="D49" s="322">
        <v>21.25</v>
      </c>
    </row>
    <row r="50" spans="1:4" ht="24">
      <c r="A50" s="325" t="str">
        <f>'PLANILHA UNIFICADA'!A36</f>
        <v>4.4</v>
      </c>
      <c r="B50" s="336" t="s">
        <v>436</v>
      </c>
      <c r="C50" s="337" t="s">
        <v>14</v>
      </c>
      <c r="D50" s="325">
        <f>SUM(D51:D52)</f>
        <v>6.5</v>
      </c>
    </row>
    <row r="51" spans="1:4" ht="15">
      <c r="A51" s="329"/>
      <c r="B51" s="307" t="s">
        <v>382</v>
      </c>
      <c r="C51" s="190" t="s">
        <v>14</v>
      </c>
      <c r="D51" s="313">
        <v>4</v>
      </c>
    </row>
    <row r="52" spans="1:4" ht="15">
      <c r="A52" s="329"/>
      <c r="B52" s="307" t="s">
        <v>395</v>
      </c>
      <c r="C52" s="190" t="s">
        <v>14</v>
      </c>
      <c r="D52" s="313">
        <v>2.5</v>
      </c>
    </row>
    <row r="53" spans="1:4" ht="45">
      <c r="A53" s="325" t="str">
        <f>'PLANILHA UNIFICADA'!A38</f>
        <v>5.1</v>
      </c>
      <c r="B53" s="330" t="s">
        <v>391</v>
      </c>
      <c r="C53" s="338" t="s">
        <v>74</v>
      </c>
      <c r="D53" s="325">
        <f>D54</f>
        <v>0.48</v>
      </c>
    </row>
    <row r="54" spans="1:4" ht="15">
      <c r="A54" s="329"/>
      <c r="B54" s="309" t="s">
        <v>389</v>
      </c>
      <c r="C54" s="280" t="s">
        <v>74</v>
      </c>
      <c r="D54" s="313">
        <f>(1.2*0.4*0.5)*2</f>
        <v>0.48</v>
      </c>
    </row>
    <row r="55" spans="1:4" ht="33.75">
      <c r="A55" s="333" t="str">
        <f>'PLANILHA UNIFICADA'!A39</f>
        <v>5.2</v>
      </c>
      <c r="B55" s="332" t="s">
        <v>392</v>
      </c>
      <c r="C55" s="339" t="s">
        <v>14</v>
      </c>
      <c r="D55" s="333">
        <f>D56</f>
        <v>4.41</v>
      </c>
    </row>
    <row r="56" spans="1:4" ht="15">
      <c r="A56" s="329"/>
      <c r="B56" s="309" t="s">
        <v>389</v>
      </c>
      <c r="C56" s="280" t="s">
        <v>14</v>
      </c>
      <c r="D56" s="313">
        <f>2*1.05*2.1</f>
        <v>4.41</v>
      </c>
    </row>
    <row r="57" spans="1:4" ht="25.5">
      <c r="A57" s="325" t="s">
        <v>351</v>
      </c>
      <c r="B57" s="340" t="s">
        <v>343</v>
      </c>
      <c r="C57" s="326" t="s">
        <v>313</v>
      </c>
      <c r="D57" s="325">
        <f>SUM(D58:D59)</f>
        <v>107.146</v>
      </c>
    </row>
    <row r="58" spans="1:4" ht="15">
      <c r="A58" s="329"/>
      <c r="B58" s="320" t="s">
        <v>362</v>
      </c>
      <c r="C58" s="136" t="s">
        <v>313</v>
      </c>
      <c r="D58" s="313">
        <f>(2.1+1.2+2.4+1.6+1+0.5+2.5+0.7+1+4.7+0.5)*1.69</f>
        <v>30.758</v>
      </c>
    </row>
    <row r="59" spans="1:4" ht="30">
      <c r="A59" s="329"/>
      <c r="B59" s="320" t="s">
        <v>364</v>
      </c>
      <c r="C59" s="136" t="s">
        <v>313</v>
      </c>
      <c r="D59" s="313">
        <f>(2.6+1.2+5.1+1+0.7+4.05+3.25+0.5+12.7+0.5+0.5+3.65+3.85+1.1+1.1+0.7+0.7+1+1)*1.69</f>
        <v>76.388</v>
      </c>
    </row>
    <row r="60" spans="1:4" ht="48">
      <c r="A60" s="325" t="str">
        <f>'PLANILHA UNIFICADA'!A97</f>
        <v>13.3</v>
      </c>
      <c r="B60" s="341" t="s">
        <v>385</v>
      </c>
      <c r="C60" s="326" t="s">
        <v>14</v>
      </c>
      <c r="D60" s="325">
        <f>D61</f>
        <v>4.050000000000001</v>
      </c>
    </row>
    <row r="61" spans="1:4" ht="15">
      <c r="A61" s="329"/>
      <c r="B61" s="309" t="s">
        <v>389</v>
      </c>
      <c r="C61" s="136" t="s">
        <v>14</v>
      </c>
      <c r="D61" s="313">
        <f>1.5*2.7</f>
        <v>4.050000000000001</v>
      </c>
    </row>
    <row r="62" spans="1:4" ht="48">
      <c r="A62" s="325" t="str">
        <f>'PLANILHA UNIFICADA'!A98</f>
        <v>13.4</v>
      </c>
      <c r="B62" s="341" t="s">
        <v>387</v>
      </c>
      <c r="C62" s="326" t="s">
        <v>14</v>
      </c>
      <c r="D62" s="325">
        <f>D63</f>
        <v>4.050000000000001</v>
      </c>
    </row>
    <row r="63" spans="1:4" ht="15">
      <c r="A63" s="329"/>
      <c r="B63" s="309" t="s">
        <v>389</v>
      </c>
      <c r="C63" s="136" t="s">
        <v>14</v>
      </c>
      <c r="D63" s="313">
        <f>1.5*2.7</f>
        <v>4.050000000000001</v>
      </c>
    </row>
    <row r="64" spans="1:4" ht="15">
      <c r="A64" s="394" t="s">
        <v>431</v>
      </c>
      <c r="B64" s="395" t="s">
        <v>202</v>
      </c>
      <c r="C64" s="326" t="s">
        <v>14</v>
      </c>
      <c r="D64" s="325">
        <f>59+76+26</f>
        <v>161</v>
      </c>
    </row>
    <row r="65" spans="1:4" ht="15">
      <c r="A65" s="329"/>
      <c r="B65" s="393" t="s">
        <v>521</v>
      </c>
      <c r="C65" s="136" t="s">
        <v>14</v>
      </c>
      <c r="D65" s="313" t="s">
        <v>522</v>
      </c>
    </row>
  </sheetData>
  <sheetProtection/>
  <mergeCells count="1">
    <mergeCell ref="A2:D2"/>
  </mergeCells>
  <printOptions/>
  <pageMargins left="0.511811024" right="0.511811024" top="0.787401575" bottom="0.787401575" header="0.31496062" footer="0.3149606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2:M40"/>
  <sheetViews>
    <sheetView zoomScalePageLayoutView="0" workbookViewId="0" topLeftCell="A12">
      <selection activeCell="G35" sqref="G35"/>
    </sheetView>
  </sheetViews>
  <sheetFormatPr defaultColWidth="9.140625" defaultRowHeight="15"/>
  <cols>
    <col min="2" max="2" width="18.8515625" style="0" customWidth="1"/>
    <col min="3" max="3" width="11.57421875" style="0" customWidth="1"/>
    <col min="4" max="4" width="10.8515625" style="0" customWidth="1"/>
    <col min="5" max="5" width="11.00390625" style="0" customWidth="1"/>
    <col min="6" max="9" width="11.7109375" style="0" customWidth="1"/>
    <col min="10" max="10" width="12.28125" style="0" customWidth="1"/>
    <col min="11" max="11" width="10.421875" style="0" customWidth="1"/>
    <col min="12" max="13" width="10.8515625" style="0" customWidth="1"/>
  </cols>
  <sheetData>
    <row r="2" spans="1:13" ht="15.75">
      <c r="A2" s="491" t="s">
        <v>158</v>
      </c>
      <c r="B2" s="492"/>
      <c r="C2" s="492"/>
      <c r="D2" s="492"/>
      <c r="E2" s="492"/>
      <c r="F2" s="492"/>
      <c r="G2" s="492"/>
      <c r="H2" s="492"/>
      <c r="I2" s="492"/>
      <c r="J2" s="492"/>
      <c r="K2" s="492"/>
      <c r="L2" s="492"/>
      <c r="M2" s="492"/>
    </row>
    <row r="3" spans="1:13" ht="38.25" customHeight="1">
      <c r="A3" s="495" t="s">
        <v>203</v>
      </c>
      <c r="B3" s="496"/>
      <c r="C3" s="496"/>
      <c r="D3" s="496"/>
      <c r="E3" s="496"/>
      <c r="F3" s="496"/>
      <c r="G3" s="496"/>
      <c r="H3" s="496"/>
      <c r="I3" s="496"/>
      <c r="J3" s="496"/>
      <c r="K3" s="496"/>
      <c r="L3" s="496"/>
      <c r="M3" s="496"/>
    </row>
    <row r="4" spans="1:13" ht="15.75">
      <c r="A4" s="491" t="s">
        <v>167</v>
      </c>
      <c r="B4" s="492"/>
      <c r="C4" s="492"/>
      <c r="D4" s="492"/>
      <c r="E4" s="492"/>
      <c r="F4" s="492"/>
      <c r="G4" s="492"/>
      <c r="H4" s="492"/>
      <c r="I4" s="492"/>
      <c r="J4" s="492"/>
      <c r="K4" s="492"/>
      <c r="L4" s="492"/>
      <c r="M4" s="492"/>
    </row>
    <row r="5" spans="1:13" ht="15">
      <c r="A5" s="493"/>
      <c r="B5" s="494"/>
      <c r="C5" s="494"/>
      <c r="D5" s="494"/>
      <c r="E5" s="494"/>
      <c r="F5" s="494"/>
      <c r="G5" s="494"/>
      <c r="H5" s="494"/>
      <c r="I5" s="494"/>
      <c r="J5" s="494"/>
      <c r="K5" s="494"/>
      <c r="L5" s="494"/>
      <c r="M5" s="494"/>
    </row>
    <row r="6" spans="1:13" ht="15">
      <c r="A6" s="489" t="s">
        <v>1</v>
      </c>
      <c r="B6" s="489" t="s">
        <v>159</v>
      </c>
      <c r="C6" s="490" t="s">
        <v>160</v>
      </c>
      <c r="D6" s="497" t="s">
        <v>161</v>
      </c>
      <c r="E6" s="489" t="s">
        <v>162</v>
      </c>
      <c r="F6" s="106" t="s">
        <v>163</v>
      </c>
      <c r="G6" s="107">
        <v>1</v>
      </c>
      <c r="H6" s="106" t="s">
        <v>163</v>
      </c>
      <c r="I6" s="107">
        <v>2</v>
      </c>
      <c r="J6" s="106" t="s">
        <v>163</v>
      </c>
      <c r="K6" s="107">
        <v>3</v>
      </c>
      <c r="L6" s="106" t="s">
        <v>163</v>
      </c>
      <c r="M6" s="107">
        <v>4</v>
      </c>
    </row>
    <row r="7" spans="1:13" ht="15">
      <c r="A7" s="489"/>
      <c r="B7" s="489"/>
      <c r="C7" s="490"/>
      <c r="D7" s="497"/>
      <c r="E7" s="489"/>
      <c r="F7" s="108" t="s">
        <v>164</v>
      </c>
      <c r="G7" s="108" t="s">
        <v>165</v>
      </c>
      <c r="H7" s="108" t="s">
        <v>164</v>
      </c>
      <c r="I7" s="108" t="s">
        <v>165</v>
      </c>
      <c r="J7" s="108" t="s">
        <v>164</v>
      </c>
      <c r="K7" s="108" t="s">
        <v>165</v>
      </c>
      <c r="L7" s="108" t="s">
        <v>164</v>
      </c>
      <c r="M7" s="108" t="s">
        <v>165</v>
      </c>
    </row>
    <row r="8" spans="1:13" ht="25.5">
      <c r="A8" s="109">
        <v>1</v>
      </c>
      <c r="B8" s="110" t="str">
        <f>'PLANILHA UNIFICADA'!C7</f>
        <v>SERVIÇOS PRELIMINARES</v>
      </c>
      <c r="C8" s="111">
        <f>'PLANILHA UNIFICADA'!G7</f>
        <v>42389.81999999999</v>
      </c>
      <c r="D8" s="111">
        <f>C8*1.2733</f>
        <v>53974.95780599999</v>
      </c>
      <c r="E8" s="112">
        <f>D8/D34</f>
        <v>0.08463641136681754</v>
      </c>
      <c r="F8" s="113">
        <f>F9/D8</f>
        <v>0.33743101527678127</v>
      </c>
      <c r="G8" s="113">
        <f>F8</f>
        <v>0.33743101527678127</v>
      </c>
      <c r="H8" s="113">
        <f>H9/D8</f>
        <v>0.22735647379488755</v>
      </c>
      <c r="I8" s="113">
        <f>H8+G8</f>
        <v>0.5647874890716689</v>
      </c>
      <c r="J8" s="113">
        <f>J9/D8</f>
        <v>0.2086161252866844</v>
      </c>
      <c r="K8" s="113">
        <f>J8+I8</f>
        <v>0.7734036143583533</v>
      </c>
      <c r="L8" s="113">
        <f>L9/D8</f>
        <v>0.22659638564164702</v>
      </c>
      <c r="M8" s="113">
        <f>L8+K8</f>
        <v>1.0000000000000002</v>
      </c>
    </row>
    <row r="9" spans="1:13" ht="15">
      <c r="A9" s="114"/>
      <c r="B9" s="115"/>
      <c r="C9" s="116"/>
      <c r="D9" s="111"/>
      <c r="E9" s="112"/>
      <c r="F9" s="111">
        <f>'PLANILHA UNIFICADA'!L8</f>
        <v>18212.824812000006</v>
      </c>
      <c r="G9" s="111">
        <f>F9</f>
        <v>18212.824812000006</v>
      </c>
      <c r="H9" s="111">
        <f>'PLANILHA UNIFICADA'!L9</f>
        <v>12271.556079999998</v>
      </c>
      <c r="I9" s="111">
        <f>H9+G9</f>
        <v>30484.380892000005</v>
      </c>
      <c r="J9" s="111">
        <f>'PLANILHA UNIFICADA'!L10</f>
        <v>11260.046559999999</v>
      </c>
      <c r="K9" s="111">
        <f>J9+I9</f>
        <v>41744.427452</v>
      </c>
      <c r="L9" s="111">
        <f>'PLANILHA UNIFICADA'!L11</f>
        <v>12230.530354</v>
      </c>
      <c r="M9" s="111">
        <f>L9+K9</f>
        <v>53974.957806000006</v>
      </c>
    </row>
    <row r="10" spans="1:13" ht="25.5">
      <c r="A10" s="109">
        <v>2</v>
      </c>
      <c r="B10" s="110" t="str">
        <f>'PLANILHA UNIFICADA'!C18</f>
        <v>DEMOLIÇÕES E RETIRADAS</v>
      </c>
      <c r="C10" s="111">
        <f>'PLANILHA UNIFICADA'!G18</f>
        <v>52722.418</v>
      </c>
      <c r="D10" s="111">
        <f>C10*1.2733</f>
        <v>67131.4548394</v>
      </c>
      <c r="E10" s="112">
        <f>D10/D34</f>
        <v>0.10526669511928351</v>
      </c>
      <c r="F10" s="113">
        <f>F11/D10</f>
        <v>1</v>
      </c>
      <c r="G10" s="113">
        <v>1</v>
      </c>
      <c r="H10" s="113">
        <f>H11/D10</f>
        <v>0</v>
      </c>
      <c r="I10" s="113">
        <v>1</v>
      </c>
      <c r="J10" s="113">
        <f>J11/F10</f>
        <v>0</v>
      </c>
      <c r="K10" s="113">
        <v>1</v>
      </c>
      <c r="L10" s="113">
        <f>J10</f>
        <v>0</v>
      </c>
      <c r="M10" s="113">
        <v>1</v>
      </c>
    </row>
    <row r="11" spans="1:13" ht="15">
      <c r="A11" s="114"/>
      <c r="B11" s="117"/>
      <c r="C11" s="116"/>
      <c r="D11" s="111"/>
      <c r="E11" s="112"/>
      <c r="F11" s="111">
        <f>'PLANILHA UNIFICADA'!K19</f>
        <v>67131.4548394</v>
      </c>
      <c r="G11" s="111">
        <f aca="true" t="shared" si="0" ref="G11:G22">F11</f>
        <v>67131.4548394</v>
      </c>
      <c r="H11" s="111">
        <v>0</v>
      </c>
      <c r="I11" s="111">
        <f>G11</f>
        <v>67131.4548394</v>
      </c>
      <c r="J11" s="111">
        <v>0</v>
      </c>
      <c r="K11" s="111">
        <f>I11</f>
        <v>67131.4548394</v>
      </c>
      <c r="L11" s="111">
        <v>0</v>
      </c>
      <c r="M11" s="111">
        <f>K11</f>
        <v>67131.4548394</v>
      </c>
    </row>
    <row r="12" spans="1:13" ht="24">
      <c r="A12" s="109">
        <v>3</v>
      </c>
      <c r="B12" s="118" t="str">
        <f>'PLANILHA UNIFICADA'!C28</f>
        <v>ESCAVAÇÕES E CALÇAMENTO</v>
      </c>
      <c r="C12" s="111">
        <f>'PLANILHA UNIFICADA'!G28</f>
        <v>17906.524359999996</v>
      </c>
      <c r="D12" s="111">
        <f>C12*1.2733</f>
        <v>22800.377467587998</v>
      </c>
      <c r="E12" s="112">
        <f>D12/D34</f>
        <v>0.0357525453489281</v>
      </c>
      <c r="F12" s="113">
        <f>F13/D12</f>
        <v>0.4942102108753393</v>
      </c>
      <c r="G12" s="113">
        <f t="shared" si="0"/>
        <v>0.4942102108753393</v>
      </c>
      <c r="H12" s="113">
        <f>H13/D12</f>
        <v>0.4942102108753393</v>
      </c>
      <c r="I12" s="113">
        <f>H12+G12</f>
        <v>0.9884204217506786</v>
      </c>
      <c r="J12" s="113">
        <f>J13/D12</f>
        <v>0.011579578249321413</v>
      </c>
      <c r="K12" s="113">
        <f>J12+I12</f>
        <v>1</v>
      </c>
      <c r="L12" s="113">
        <f>L13/D12</f>
        <v>0</v>
      </c>
      <c r="M12" s="113">
        <f>L12+K12</f>
        <v>1</v>
      </c>
    </row>
    <row r="13" spans="1:13" ht="15">
      <c r="A13" s="114"/>
      <c r="B13" s="117"/>
      <c r="C13" s="116"/>
      <c r="D13" s="111"/>
      <c r="E13" s="112"/>
      <c r="F13" s="111">
        <f>'PLANILHA UNIFICADA'!L29</f>
        <v>11268.179356293998</v>
      </c>
      <c r="G13" s="111">
        <f t="shared" si="0"/>
        <v>11268.179356293998</v>
      </c>
      <c r="H13" s="111">
        <f>'PLANILHA UNIFICADA'!L30</f>
        <v>11268.179356293998</v>
      </c>
      <c r="I13" s="111">
        <f>G13+H13</f>
        <v>22536.358712587997</v>
      </c>
      <c r="J13" s="111">
        <f>'PLANILHA UNIFICADA'!L31</f>
        <v>264.018755</v>
      </c>
      <c r="K13" s="111">
        <f>I13+J13</f>
        <v>22800.377467587998</v>
      </c>
      <c r="L13" s="111">
        <v>0</v>
      </c>
      <c r="M13" s="111">
        <f>K13+L13</f>
        <v>22800.377467587998</v>
      </c>
    </row>
    <row r="14" spans="1:13" ht="24">
      <c r="A14" s="109">
        <v>4</v>
      </c>
      <c r="B14" s="118" t="str">
        <f>'PLANILHA UNIFICADA'!C32</f>
        <v>REVESTIMENTO DE PISO</v>
      </c>
      <c r="C14" s="111">
        <f>'PLANILHA UNIFICADA'!G32</f>
        <v>37372.11244</v>
      </c>
      <c r="D14" s="111">
        <f>C14*1.2733</f>
        <v>47585.910769852</v>
      </c>
      <c r="E14" s="112">
        <f>D14/D32</f>
        <v>4.562560119349924</v>
      </c>
      <c r="F14" s="113">
        <f>F15/D14</f>
        <v>0</v>
      </c>
      <c r="G14" s="113">
        <f>F14</f>
        <v>0</v>
      </c>
      <c r="H14" s="113">
        <f>H15/D14</f>
        <v>0.09695797757799962</v>
      </c>
      <c r="I14" s="113">
        <f>H14+G14</f>
        <v>0.09695797757799962</v>
      </c>
      <c r="J14" s="113">
        <f>J15/D14</f>
        <v>0.9030420224220003</v>
      </c>
      <c r="K14" s="113">
        <f>J14+I14</f>
        <v>0.9999999999999999</v>
      </c>
      <c r="L14" s="113">
        <f>L15/D14</f>
        <v>0</v>
      </c>
      <c r="M14" s="113">
        <f>L14+K14</f>
        <v>0.9999999999999999</v>
      </c>
    </row>
    <row r="15" spans="1:13" ht="15">
      <c r="A15" s="114"/>
      <c r="B15" s="117"/>
      <c r="C15" s="116"/>
      <c r="D15" s="111"/>
      <c r="E15" s="112"/>
      <c r="F15" s="111">
        <v>0</v>
      </c>
      <c r="G15" s="111">
        <f>F15</f>
        <v>0</v>
      </c>
      <c r="H15" s="111">
        <f>'PLANILHA UNIFICADA'!L33</f>
        <v>4613.833669452001</v>
      </c>
      <c r="I15" s="111">
        <f>H15+G15</f>
        <v>4613.833669452001</v>
      </c>
      <c r="J15" s="111">
        <f>'PLANILHA UNIFICADA'!L34</f>
        <v>42972.0771004</v>
      </c>
      <c r="K15" s="111">
        <f>J15+I15</f>
        <v>47585.910769852</v>
      </c>
      <c r="L15" s="111">
        <v>0</v>
      </c>
      <c r="M15" s="111">
        <f>L15+K15</f>
        <v>47585.910769852</v>
      </c>
    </row>
    <row r="16" spans="1:13" ht="15">
      <c r="A16" s="109">
        <v>5</v>
      </c>
      <c r="B16" s="118" t="str">
        <f>'PLANILHA UNIFICADA'!C37</f>
        <v>PAREDES</v>
      </c>
      <c r="C16" s="111">
        <f>'PLANILHA UNIFICADA'!G37</f>
        <v>336.2694</v>
      </c>
      <c r="D16" s="111">
        <f>C16*1.2733</f>
        <v>428.1718270200001</v>
      </c>
      <c r="E16" s="112">
        <f>D16/D32</f>
        <v>0.04105332167832169</v>
      </c>
      <c r="F16" s="113">
        <f>F17/D16</f>
        <v>0</v>
      </c>
      <c r="G16" s="113">
        <f>F16</f>
        <v>0</v>
      </c>
      <c r="H16" s="113">
        <f>H17/D16</f>
        <v>1</v>
      </c>
      <c r="I16" s="113">
        <f>H16+G16</f>
        <v>1</v>
      </c>
      <c r="J16" s="113">
        <f>J17/D16</f>
        <v>0</v>
      </c>
      <c r="K16" s="113">
        <f>J16+I16</f>
        <v>1</v>
      </c>
      <c r="L16" s="113">
        <f>L17/D16</f>
        <v>0</v>
      </c>
      <c r="M16" s="113">
        <f>L16+K16</f>
        <v>1</v>
      </c>
    </row>
    <row r="17" spans="1:13" ht="15">
      <c r="A17" s="114"/>
      <c r="B17" s="117"/>
      <c r="C17" s="116"/>
      <c r="D17" s="111"/>
      <c r="E17" s="112"/>
      <c r="F17" s="111">
        <v>0</v>
      </c>
      <c r="G17" s="111">
        <f>F17</f>
        <v>0</v>
      </c>
      <c r="H17" s="111">
        <f>'PLANILHA UNIFICADA'!H37</f>
        <v>428.1718270200001</v>
      </c>
      <c r="I17" s="111">
        <f>H17+G17</f>
        <v>428.1718270200001</v>
      </c>
      <c r="J17" s="111">
        <f>'PLANILHA UNIFICADA'!L39</f>
        <v>0</v>
      </c>
      <c r="K17" s="111">
        <f>J17+I17</f>
        <v>428.1718270200001</v>
      </c>
      <c r="L17" s="111">
        <v>0</v>
      </c>
      <c r="M17" s="111">
        <f>L17+K17</f>
        <v>428.1718270200001</v>
      </c>
    </row>
    <row r="18" spans="1:13" ht="24">
      <c r="A18" s="109">
        <v>6</v>
      </c>
      <c r="B18" s="118" t="str">
        <f>'PLANILHA UNIFICADA'!C40</f>
        <v>INSTALAÇÕES ELÉTRICAS</v>
      </c>
      <c r="C18" s="111">
        <f>'PLANILHA UNIFICADA'!G40</f>
        <v>38238.16</v>
      </c>
      <c r="D18" s="111">
        <f>C18*1.2733</f>
        <v>48688.64912800001</v>
      </c>
      <c r="E18" s="112">
        <f>D18/D34</f>
        <v>0.07634711918262897</v>
      </c>
      <c r="F18" s="113">
        <f>F19/D18</f>
        <v>0</v>
      </c>
      <c r="G18" s="113">
        <f t="shared" si="0"/>
        <v>0</v>
      </c>
      <c r="H18" s="113">
        <f>H19/D18</f>
        <v>0.3222801515554095</v>
      </c>
      <c r="I18" s="113">
        <f aca="true" t="shared" si="1" ref="I18:I33">H18+G18</f>
        <v>0.3222801515554095</v>
      </c>
      <c r="J18" s="113">
        <f>J19/D18</f>
        <v>0.3222801515554095</v>
      </c>
      <c r="K18" s="113">
        <f aca="true" t="shared" si="2" ref="K18:K33">J18+I18</f>
        <v>0.644560303110819</v>
      </c>
      <c r="L18" s="113">
        <f>L19/D18</f>
        <v>0.3554396968891808</v>
      </c>
      <c r="M18" s="113">
        <f aca="true" t="shared" si="3" ref="M18:M33">L18+K18</f>
        <v>0.9999999999999998</v>
      </c>
    </row>
    <row r="19" spans="1:13" ht="15">
      <c r="A19" s="114"/>
      <c r="B19" s="117"/>
      <c r="C19" s="116"/>
      <c r="D19" s="111"/>
      <c r="E19" s="112"/>
      <c r="F19" s="111">
        <v>0</v>
      </c>
      <c r="G19" s="111">
        <f t="shared" si="0"/>
        <v>0</v>
      </c>
      <c r="H19" s="111">
        <f>'PLANILHA UNIFICADA'!L40</f>
        <v>15691.38522</v>
      </c>
      <c r="I19" s="111">
        <f t="shared" si="1"/>
        <v>15691.38522</v>
      </c>
      <c r="J19" s="111">
        <f>'PLANILHA UNIFICADA'!L41</f>
        <v>15691.38522</v>
      </c>
      <c r="K19" s="111">
        <f t="shared" si="2"/>
        <v>31382.77044</v>
      </c>
      <c r="L19" s="111">
        <f>'PLANILHA UNIFICADA'!L42</f>
        <v>17305.878688</v>
      </c>
      <c r="M19" s="111">
        <f t="shared" si="3"/>
        <v>48688.649128000005</v>
      </c>
    </row>
    <row r="20" spans="1:13" ht="24">
      <c r="A20" s="109">
        <v>7</v>
      </c>
      <c r="B20" s="118" t="str">
        <f>'PLANILHA UNIFICADA'!C44</f>
        <v>INSTALAÇÕES DE GÁS</v>
      </c>
      <c r="C20" s="111">
        <f>'PLANILHA UNIFICADA'!G44</f>
        <v>14811.669859999996</v>
      </c>
      <c r="D20" s="111">
        <f>C20*1.2733</f>
        <v>18859.699232737996</v>
      </c>
      <c r="E20" s="112">
        <f>D20/D34</f>
        <v>0.029573293382714357</v>
      </c>
      <c r="F20" s="113">
        <f>F21/D20</f>
        <v>0.8966699896455835</v>
      </c>
      <c r="G20" s="113">
        <f>F20</f>
        <v>0.8966699896455835</v>
      </c>
      <c r="H20" s="113">
        <f>H21/D20</f>
        <v>0.10333001035441663</v>
      </c>
      <c r="I20" s="113">
        <f>H20+G20</f>
        <v>1.0000000000000002</v>
      </c>
      <c r="J20" s="113">
        <f>J21/D20</f>
        <v>0</v>
      </c>
      <c r="K20" s="113">
        <f>J20+I20</f>
        <v>1.0000000000000002</v>
      </c>
      <c r="L20" s="113">
        <f>L21/D20</f>
        <v>0</v>
      </c>
      <c r="M20" s="113">
        <f>L20+K20</f>
        <v>1.0000000000000002</v>
      </c>
    </row>
    <row r="21" spans="1:13" ht="15">
      <c r="A21" s="114"/>
      <c r="B21" s="117"/>
      <c r="C21" s="116"/>
      <c r="D21" s="111"/>
      <c r="E21" s="112"/>
      <c r="F21" s="111">
        <f>'PLANILHA UNIFICADA'!L45</f>
        <v>16910.926315737997</v>
      </c>
      <c r="G21" s="111">
        <f>F21</f>
        <v>16910.926315737997</v>
      </c>
      <c r="H21" s="111">
        <f>'PLANILHA UNIFICADA'!L46</f>
        <v>1948.7729170000005</v>
      </c>
      <c r="I21" s="111">
        <f>H21+G21</f>
        <v>18859.699232738</v>
      </c>
      <c r="J21" s="111">
        <v>0</v>
      </c>
      <c r="K21" s="111">
        <f>J21+I21</f>
        <v>18859.699232738</v>
      </c>
      <c r="L21" s="111">
        <f>'PLANILHA UNIFICADA'!L44</f>
        <v>0</v>
      </c>
      <c r="M21" s="111">
        <f>L21+K21</f>
        <v>18859.699232738</v>
      </c>
    </row>
    <row r="22" spans="1:13" ht="51">
      <c r="A22" s="109">
        <v>8</v>
      </c>
      <c r="B22" s="110" t="str">
        <f>'PLANILHA UNIFICADA'!C48</f>
        <v>SISTEMA DE DETECÇÃO DE FUMAÇA E DE ALARME</v>
      </c>
      <c r="C22" s="111">
        <f>'PLANILHA UNIFICADA'!G48</f>
        <v>81336.09999999999</v>
      </c>
      <c r="D22" s="111">
        <f>C22*1.2733</f>
        <v>103565.25613</v>
      </c>
      <c r="E22" s="112">
        <f>D22/D34</f>
        <v>0.16239737792169462</v>
      </c>
      <c r="F22" s="113">
        <f>F23/D22</f>
        <v>0</v>
      </c>
      <c r="G22" s="113">
        <f t="shared" si="0"/>
        <v>0</v>
      </c>
      <c r="H22" s="113">
        <f>H23/D22</f>
        <v>0.3299919715845732</v>
      </c>
      <c r="I22" s="113">
        <f t="shared" si="1"/>
        <v>0.3299919715845732</v>
      </c>
      <c r="J22" s="113">
        <f>J23/D22</f>
        <v>0.3299919715845732</v>
      </c>
      <c r="K22" s="113">
        <f t="shared" si="2"/>
        <v>0.6599839431691464</v>
      </c>
      <c r="L22" s="113">
        <f>L23/D22</f>
        <v>0.34001605683085373</v>
      </c>
      <c r="M22" s="113">
        <f t="shared" si="3"/>
        <v>1.0000000000000002</v>
      </c>
    </row>
    <row r="23" spans="1:13" ht="15">
      <c r="A23" s="114"/>
      <c r="B23" s="119"/>
      <c r="C23" s="116"/>
      <c r="D23" s="111"/>
      <c r="E23" s="112"/>
      <c r="F23" s="111">
        <v>0</v>
      </c>
      <c r="G23" s="111">
        <v>0</v>
      </c>
      <c r="H23" s="111">
        <f>'PLANILHA UNIFICADA'!L49</f>
        <v>34175.70305800001</v>
      </c>
      <c r="I23" s="111">
        <f t="shared" si="1"/>
        <v>34175.70305800001</v>
      </c>
      <c r="J23" s="111">
        <f>'PLANILHA UNIFICADA'!L50</f>
        <v>34175.70305800001</v>
      </c>
      <c r="K23" s="111">
        <f t="shared" si="2"/>
        <v>68351.40611600001</v>
      </c>
      <c r="L23" s="111">
        <f>'PLANILHA UNIFICADA'!L51</f>
        <v>35213.850014</v>
      </c>
      <c r="M23" s="111">
        <f t="shared" si="3"/>
        <v>103565.25613000002</v>
      </c>
    </row>
    <row r="24" spans="1:13" ht="48">
      <c r="A24" s="109">
        <v>9</v>
      </c>
      <c r="B24" s="118" t="str">
        <f>'PLANILHA UNIFICADA'!C58</f>
        <v>RESERVATÓRIO DE ÁGUA (REDE DE ALIMENTAÇÃO DOS HIDRANTES)</v>
      </c>
      <c r="C24" s="111">
        <f>'PLANILHA UNIFICADA'!G58</f>
        <v>169530.44573</v>
      </c>
      <c r="D24" s="111">
        <f>C24*1.2733</f>
        <v>215863.116548009</v>
      </c>
      <c r="E24" s="112">
        <f>D24/D34</f>
        <v>0.3384880743538005</v>
      </c>
      <c r="F24" s="113">
        <f>F25/D24</f>
        <v>0.17526758023937627</v>
      </c>
      <c r="G24" s="113">
        <f aca="true" t="shared" si="4" ref="G24:G33">F24</f>
        <v>0.17526758023937627</v>
      </c>
      <c r="H24" s="113">
        <f>H25/D24</f>
        <v>0.40895768722521125</v>
      </c>
      <c r="I24" s="113">
        <f t="shared" si="1"/>
        <v>0.5842252674645876</v>
      </c>
      <c r="J24" s="113">
        <f>J25/D24</f>
        <v>0.20822366199768264</v>
      </c>
      <c r="K24" s="113">
        <f t="shared" si="2"/>
        <v>0.7924489294622702</v>
      </c>
      <c r="L24" s="113">
        <f>L25/D24</f>
        <v>0.20755107053772978</v>
      </c>
      <c r="M24" s="113">
        <f t="shared" si="3"/>
        <v>1</v>
      </c>
    </row>
    <row r="25" spans="1:13" ht="15">
      <c r="A25" s="114"/>
      <c r="B25" s="117"/>
      <c r="C25" s="116"/>
      <c r="D25" s="111"/>
      <c r="E25" s="112"/>
      <c r="F25" s="111">
        <f>'PLANILHA UNIFICADA'!L60</f>
        <v>37833.806100300004</v>
      </c>
      <c r="G25" s="111">
        <f t="shared" si="4"/>
        <v>37833.806100300004</v>
      </c>
      <c r="H25" s="111">
        <f>'PLANILHA UNIFICADA'!L61</f>
        <v>88278.8809007</v>
      </c>
      <c r="I25" s="111">
        <f t="shared" si="1"/>
        <v>126112.687001</v>
      </c>
      <c r="J25" s="111">
        <f>'PLANILHA UNIFICADA'!L62</f>
        <v>44947.808617859</v>
      </c>
      <c r="K25" s="111">
        <f t="shared" si="2"/>
        <v>171060.49561885901</v>
      </c>
      <c r="L25" s="111">
        <f>'PLANILHA UNIFICADA'!L63</f>
        <v>44802.620929150005</v>
      </c>
      <c r="M25" s="111">
        <f t="shared" si="3"/>
        <v>215863.116548009</v>
      </c>
    </row>
    <row r="26" spans="1:13" ht="15">
      <c r="A26" s="173">
        <v>10</v>
      </c>
      <c r="B26" s="174" t="str">
        <f>'PLANILHA UNIFICADA'!C78</f>
        <v>FORROS</v>
      </c>
      <c r="C26" s="175">
        <f>'PLANILHA UNIFICADA'!G78</f>
        <v>7456.82</v>
      </c>
      <c r="D26" s="111">
        <f>C26*1.2733</f>
        <v>9494.768906000001</v>
      </c>
      <c r="E26" s="176">
        <f>D26/D34</f>
        <v>0.014888444560706145</v>
      </c>
      <c r="F26" s="177">
        <f>F27/D26</f>
        <v>0</v>
      </c>
      <c r="G26" s="177">
        <f t="shared" si="4"/>
        <v>0</v>
      </c>
      <c r="H26" s="177">
        <f>H27/D26</f>
        <v>0</v>
      </c>
      <c r="I26" s="177">
        <f t="shared" si="1"/>
        <v>0</v>
      </c>
      <c r="J26" s="177">
        <f>J27/D26</f>
        <v>1</v>
      </c>
      <c r="K26" s="177">
        <f t="shared" si="2"/>
        <v>1</v>
      </c>
      <c r="L26" s="177">
        <f>L27/D26</f>
        <v>0</v>
      </c>
      <c r="M26" s="177">
        <f t="shared" si="3"/>
        <v>1</v>
      </c>
    </row>
    <row r="27" spans="1:13" ht="15">
      <c r="A27" s="178"/>
      <c r="B27" s="179"/>
      <c r="C27" s="180"/>
      <c r="D27" s="175"/>
      <c r="E27" s="176"/>
      <c r="F27" s="175">
        <v>0</v>
      </c>
      <c r="G27" s="175">
        <f t="shared" si="4"/>
        <v>0</v>
      </c>
      <c r="H27" s="175">
        <v>0</v>
      </c>
      <c r="I27" s="175">
        <f t="shared" si="1"/>
        <v>0</v>
      </c>
      <c r="J27" s="175">
        <f>'PLANILHA UNIFICADA'!H78</f>
        <v>9494.768906000001</v>
      </c>
      <c r="K27" s="175">
        <f t="shared" si="2"/>
        <v>9494.768906000001</v>
      </c>
      <c r="L27" s="175">
        <v>0</v>
      </c>
      <c r="M27" s="175">
        <f t="shared" si="3"/>
        <v>9494.768906000001</v>
      </c>
    </row>
    <row r="28" spans="1:13" ht="15">
      <c r="A28" s="173">
        <v>11</v>
      </c>
      <c r="B28" s="174" t="str">
        <f>'PLANILHA UNIFICADA'!C82</f>
        <v>PINTURA</v>
      </c>
      <c r="C28" s="180">
        <f>'PLANILHA UNIFICADA'!G82</f>
        <v>2101.5825600000003</v>
      </c>
      <c r="D28" s="111">
        <f>C28*1.2733</f>
        <v>2675.9450736480007</v>
      </c>
      <c r="E28" s="176">
        <f>D28/D34</f>
        <v>0.004196064198184602</v>
      </c>
      <c r="F28" s="177">
        <f>F29/D28</f>
        <v>0</v>
      </c>
      <c r="G28" s="177">
        <f t="shared" si="4"/>
        <v>0</v>
      </c>
      <c r="H28" s="177">
        <f>H29/D28</f>
        <v>0</v>
      </c>
      <c r="I28" s="177">
        <f t="shared" si="1"/>
        <v>0</v>
      </c>
      <c r="J28" s="177">
        <f>J29/D28</f>
        <v>0</v>
      </c>
      <c r="K28" s="177">
        <f t="shared" si="2"/>
        <v>0</v>
      </c>
      <c r="L28" s="177">
        <f>L29/D28</f>
        <v>1</v>
      </c>
      <c r="M28" s="177">
        <f t="shared" si="3"/>
        <v>1</v>
      </c>
    </row>
    <row r="29" spans="1:13" ht="15">
      <c r="A29" s="178"/>
      <c r="B29" s="179"/>
      <c r="C29" s="180"/>
      <c r="D29" s="175"/>
      <c r="E29" s="176"/>
      <c r="F29" s="175">
        <v>0</v>
      </c>
      <c r="G29" s="175">
        <f t="shared" si="4"/>
        <v>0</v>
      </c>
      <c r="H29" s="175">
        <v>0</v>
      </c>
      <c r="I29" s="175">
        <f t="shared" si="1"/>
        <v>0</v>
      </c>
      <c r="J29" s="175">
        <f>'PLANILHA UNIFICADA'!K94</f>
        <v>0</v>
      </c>
      <c r="K29" s="175">
        <f t="shared" si="2"/>
        <v>0</v>
      </c>
      <c r="L29" s="175">
        <f>'PLANILHA UNIFICADA'!H82</f>
        <v>2675.9450736480007</v>
      </c>
      <c r="M29" s="175">
        <f t="shared" si="3"/>
        <v>2675.9450736480007</v>
      </c>
    </row>
    <row r="30" spans="1:13" ht="30.75" customHeight="1">
      <c r="A30" s="173">
        <v>12</v>
      </c>
      <c r="B30" s="174" t="str">
        <f>'PLANILHA UNIFICADA'!C88</f>
        <v>EXTINTORES E SINALIZAÇÃO</v>
      </c>
      <c r="C30" s="181">
        <f>'PLANILHA UNIFICADA'!G88</f>
        <v>28453.1784</v>
      </c>
      <c r="D30" s="111">
        <f>C30*1.2733</f>
        <v>36229.432056720005</v>
      </c>
      <c r="E30" s="176">
        <f>D30/D34</f>
        <v>0.056810217919204375</v>
      </c>
      <c r="F30" s="177">
        <f>F31/D30</f>
        <v>0</v>
      </c>
      <c r="G30" s="177">
        <f>F30</f>
        <v>0</v>
      </c>
      <c r="H30" s="177">
        <f>H31/D30</f>
        <v>0</v>
      </c>
      <c r="I30" s="177">
        <f>H30+G30</f>
        <v>0</v>
      </c>
      <c r="J30" s="177">
        <f>J31/D30</f>
        <v>0</v>
      </c>
      <c r="K30" s="177">
        <f>J30+I30</f>
        <v>0</v>
      </c>
      <c r="L30" s="177">
        <f>L31/D30</f>
        <v>1</v>
      </c>
      <c r="M30" s="177">
        <f>L30+K30</f>
        <v>1</v>
      </c>
    </row>
    <row r="31" spans="1:13" ht="15">
      <c r="A31" s="178"/>
      <c r="B31" s="179"/>
      <c r="C31" s="180"/>
      <c r="D31" s="175"/>
      <c r="E31" s="176"/>
      <c r="F31" s="175">
        <v>0</v>
      </c>
      <c r="G31" s="175">
        <f>F31</f>
        <v>0</v>
      </c>
      <c r="H31" s="175">
        <v>0</v>
      </c>
      <c r="I31" s="175">
        <f>H31+G31</f>
        <v>0</v>
      </c>
      <c r="J31" s="175">
        <v>0</v>
      </c>
      <c r="K31" s="175">
        <f>J31+I31</f>
        <v>0</v>
      </c>
      <c r="L31" s="175">
        <f>'PLANILHA UNIFICADA'!H88</f>
        <v>36229.432056720005</v>
      </c>
      <c r="M31" s="175">
        <f>L31+K31</f>
        <v>36229.432056720005</v>
      </c>
    </row>
    <row r="32" spans="1:13" ht="30.75" customHeight="1">
      <c r="A32" s="173">
        <v>13</v>
      </c>
      <c r="B32" s="174" t="str">
        <f>'PLANILHA UNIFICADA'!C94</f>
        <v>SERVIÇOS COMPLEMENTARES</v>
      </c>
      <c r="C32" s="175">
        <f>'PLANILHA UNIFICADA'!G94</f>
        <v>8191.04</v>
      </c>
      <c r="D32" s="111">
        <f>C32*1.2733</f>
        <v>10429.651232</v>
      </c>
      <c r="E32" s="176">
        <f>D32/D34</f>
        <v>0.016354403745098643</v>
      </c>
      <c r="F32" s="177">
        <f>F33/D32</f>
        <v>0</v>
      </c>
      <c r="G32" s="177">
        <f t="shared" si="4"/>
        <v>0</v>
      </c>
      <c r="H32" s="177">
        <f>H33/D32</f>
        <v>0</v>
      </c>
      <c r="I32" s="177">
        <f t="shared" si="1"/>
        <v>0</v>
      </c>
      <c r="J32" s="177">
        <f>J33/D32</f>
        <v>0.12630752627261008</v>
      </c>
      <c r="K32" s="177">
        <f t="shared" si="2"/>
        <v>0.12630752627261008</v>
      </c>
      <c r="L32" s="177">
        <f>L33/D32</f>
        <v>0.87369247372739</v>
      </c>
      <c r="M32" s="177">
        <f t="shared" si="3"/>
        <v>1</v>
      </c>
    </row>
    <row r="33" spans="1:13" ht="15">
      <c r="A33" s="182"/>
      <c r="B33" s="179"/>
      <c r="C33" s="180"/>
      <c r="D33" s="180"/>
      <c r="E33" s="176"/>
      <c r="F33" s="175">
        <v>0</v>
      </c>
      <c r="G33" s="175">
        <f t="shared" si="4"/>
        <v>0</v>
      </c>
      <c r="H33" s="175">
        <v>0</v>
      </c>
      <c r="I33" s="175">
        <f t="shared" si="1"/>
        <v>0</v>
      </c>
      <c r="J33" s="175">
        <f>'PLANILHA UNIFICADA'!L95</f>
        <v>1317.343447</v>
      </c>
      <c r="K33" s="175">
        <f t="shared" si="2"/>
        <v>1317.343447</v>
      </c>
      <c r="L33" s="175">
        <f>'PLANILHA UNIFICADA'!L96</f>
        <v>9112.307785</v>
      </c>
      <c r="M33" s="175">
        <f t="shared" si="3"/>
        <v>10429.651232</v>
      </c>
    </row>
    <row r="34" spans="1:13" ht="15">
      <c r="A34" s="486" t="s">
        <v>166</v>
      </c>
      <c r="B34" s="486"/>
      <c r="C34" s="111">
        <f>SUM(C8:C32)</f>
        <v>500846.1407499999</v>
      </c>
      <c r="D34" s="111">
        <f>SUM(D8:D33)</f>
        <v>637727.3910169749</v>
      </c>
      <c r="E34" s="120">
        <f>SUM(E8:E32)</f>
        <v>5.528324088127308</v>
      </c>
      <c r="F34" s="113">
        <f>F35/D34</f>
        <v>0.23733838871553697</v>
      </c>
      <c r="G34" s="113">
        <f>G35/D34</f>
        <v>0.23733838871553697</v>
      </c>
      <c r="H34" s="113">
        <f>H35/D34</f>
        <v>0.2644962179834866</v>
      </c>
      <c r="I34" s="113">
        <f>G34+H34</f>
        <v>0.5018346066990236</v>
      </c>
      <c r="J34" s="113">
        <f>J35/D34</f>
        <v>0.25108401163216915</v>
      </c>
      <c r="K34" s="113">
        <f>I34+J34</f>
        <v>0.7529186183311927</v>
      </c>
      <c r="L34" s="113">
        <f>L35/D34</f>
        <v>0.2470813816688075</v>
      </c>
      <c r="M34" s="113">
        <f>K34+L34</f>
        <v>1.0000000000000002</v>
      </c>
    </row>
    <row r="35" spans="1:13" ht="15">
      <c r="A35" s="487"/>
      <c r="B35" s="487"/>
      <c r="C35" s="116"/>
      <c r="D35" s="116"/>
      <c r="E35" s="121"/>
      <c r="F35" s="111">
        <f>F33+F29+F27+F25+F23+F19+F13+F11+F9+F31+F15+F17+F21</f>
        <v>151357.19142373203</v>
      </c>
      <c r="G35" s="111">
        <f>G9+G11+G13+G19+G23+G25+G27+G29+G33+G31+G15+G17+G21</f>
        <v>151357.19142373203</v>
      </c>
      <c r="H35" s="111">
        <f>H9+H11+H13+H19+H23+H25+H27+H29+H33+H31+H21+H17+H15</f>
        <v>168676.483028466</v>
      </c>
      <c r="I35" s="111">
        <f>I9+I11+I13+I19+I23+I25+I27+I29+I33+I31+I15+I17+I21</f>
        <v>320033.674452198</v>
      </c>
      <c r="J35" s="111">
        <f>J9+J11+J13+J19+J23+J25+J27+J29+J33+J31+J21+J17+J15</f>
        <v>160123.151664259</v>
      </c>
      <c r="K35" s="111">
        <f>K9+K11+K13+K19+K23+K25+K27+K29+K33+K31+K15+K17+K21</f>
        <v>480156.82611645706</v>
      </c>
      <c r="L35" s="111">
        <f>L9+L11+L13+L19+L23+L25+L27+L29+L33+L31+L21+L17+L15</f>
        <v>157570.56490051802</v>
      </c>
      <c r="M35" s="111">
        <f>M9+M11+M13+M19+M23+M25+M27+M29+M33+M31+M21+M17+M15</f>
        <v>637727.391016975</v>
      </c>
    </row>
    <row r="36" spans="1:9" ht="15">
      <c r="A36" s="122"/>
      <c r="B36" s="123"/>
      <c r="C36" s="124"/>
      <c r="D36" s="124"/>
      <c r="E36" s="124"/>
      <c r="F36" s="124"/>
      <c r="G36" s="124"/>
      <c r="H36" s="124"/>
      <c r="I36" s="124"/>
    </row>
    <row r="37" spans="1:9" ht="15.75">
      <c r="A37" s="122"/>
      <c r="B37" s="123"/>
      <c r="C37" s="124"/>
      <c r="D37" s="124"/>
      <c r="E37" s="266" t="s">
        <v>291</v>
      </c>
      <c r="F37" s="124"/>
      <c r="G37" s="124"/>
      <c r="H37" s="124"/>
      <c r="I37" s="124"/>
    </row>
    <row r="38" spans="1:9" ht="15.75">
      <c r="A38" s="122"/>
      <c r="B38" s="123"/>
      <c r="C38" s="124"/>
      <c r="D38" s="124"/>
      <c r="E38" s="266" t="s">
        <v>292</v>
      </c>
      <c r="F38" s="124"/>
      <c r="G38" s="124"/>
      <c r="H38" s="124"/>
      <c r="I38" s="124"/>
    </row>
    <row r="39" spans="1:9" ht="15.75">
      <c r="A39" s="122"/>
      <c r="B39" s="265"/>
      <c r="C39" s="265"/>
      <c r="D39" s="265"/>
      <c r="E39" s="267" t="s">
        <v>293</v>
      </c>
      <c r="F39" s="265"/>
      <c r="G39" s="265"/>
      <c r="H39" s="124"/>
      <c r="I39" s="124"/>
    </row>
    <row r="40" spans="1:9" ht="15">
      <c r="A40" s="122"/>
      <c r="B40" s="488"/>
      <c r="C40" s="488"/>
      <c r="D40" s="488"/>
      <c r="E40" s="488"/>
      <c r="F40" s="488"/>
      <c r="G40" s="488"/>
      <c r="H40" s="124"/>
      <c r="I40" s="124"/>
    </row>
  </sheetData>
  <sheetProtection/>
  <mergeCells count="12">
    <mergeCell ref="A4:M4"/>
    <mergeCell ref="A5:M5"/>
    <mergeCell ref="A2:M2"/>
    <mergeCell ref="A3:M3"/>
    <mergeCell ref="D6:D7"/>
    <mergeCell ref="E6:E7"/>
    <mergeCell ref="A34:B34"/>
    <mergeCell ref="A35:B35"/>
    <mergeCell ref="B40:G40"/>
    <mergeCell ref="A6:A7"/>
    <mergeCell ref="B6:B7"/>
    <mergeCell ref="C6:C7"/>
  </mergeCells>
  <printOptions/>
  <pageMargins left="0.511811024" right="0.511811024" top="0.787401575" bottom="0.787401575" header="0.31496062" footer="0.31496062"/>
  <pageSetup fitToHeight="1" fitToWidth="1"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dimension ref="A1:P113"/>
  <sheetViews>
    <sheetView zoomScalePageLayoutView="0" workbookViewId="0" topLeftCell="A78">
      <selection activeCell="A7" sqref="A7:D113"/>
    </sheetView>
  </sheetViews>
  <sheetFormatPr defaultColWidth="9.140625" defaultRowHeight="15"/>
  <cols>
    <col min="3" max="3" width="55.57421875" style="0" customWidth="1"/>
    <col min="4" max="4" width="9.28125" style="0" customWidth="1"/>
  </cols>
  <sheetData>
    <row r="1" spans="1:4" ht="15">
      <c r="A1" s="498" t="s">
        <v>452</v>
      </c>
      <c r="B1" s="471"/>
      <c r="C1" s="471"/>
      <c r="D1" s="471"/>
    </row>
    <row r="2" spans="1:4" ht="15">
      <c r="A2" s="363"/>
      <c r="B2" s="11"/>
      <c r="C2" s="11"/>
      <c r="D2" s="11"/>
    </row>
    <row r="3" spans="1:4" ht="15">
      <c r="A3" s="363"/>
      <c r="B3" s="11"/>
      <c r="C3" s="11"/>
      <c r="D3" s="11"/>
    </row>
    <row r="4" spans="1:4" ht="15">
      <c r="A4" s="363"/>
      <c r="B4" s="11"/>
      <c r="C4" s="11"/>
      <c r="D4" s="11"/>
    </row>
    <row r="5" spans="1:4" ht="15">
      <c r="A5" s="363"/>
      <c r="B5" s="11"/>
      <c r="C5" s="11"/>
      <c r="D5" s="11"/>
    </row>
    <row r="6" spans="1:4" ht="15">
      <c r="A6" s="363"/>
      <c r="B6" s="11"/>
      <c r="C6" s="11"/>
      <c r="D6" s="11"/>
    </row>
    <row r="7" spans="1:4" ht="18.75">
      <c r="A7" s="499" t="s">
        <v>453</v>
      </c>
      <c r="B7" s="500"/>
      <c r="C7" s="500"/>
      <c r="D7" s="500"/>
    </row>
    <row r="8" spans="1:4" ht="15">
      <c r="A8" s="11"/>
      <c r="B8" s="11"/>
      <c r="C8" s="11"/>
      <c r="D8" s="11"/>
    </row>
    <row r="9" spans="5:10" ht="18">
      <c r="E9" s="214"/>
      <c r="F9" s="214"/>
      <c r="G9" s="214"/>
      <c r="H9" s="214"/>
      <c r="I9" s="214"/>
      <c r="J9" s="214"/>
    </row>
    <row r="10" spans="1:10" ht="45">
      <c r="A10" s="364" t="s">
        <v>454</v>
      </c>
      <c r="B10" s="365"/>
      <c r="E10" s="214"/>
      <c r="F10" s="214"/>
      <c r="G10" s="214"/>
      <c r="H10" s="214"/>
      <c r="I10" s="214"/>
      <c r="J10" s="214"/>
    </row>
    <row r="11" spans="5:10" ht="18">
      <c r="E11" s="214"/>
      <c r="F11" s="214"/>
      <c r="G11" s="214"/>
      <c r="H11" s="214"/>
      <c r="I11" s="214"/>
      <c r="J11" s="214"/>
    </row>
    <row r="12" spans="1:10" ht="18">
      <c r="A12" s="366" t="s">
        <v>455</v>
      </c>
      <c r="E12" s="214"/>
      <c r="F12" s="214"/>
      <c r="G12" s="214"/>
      <c r="H12" s="214"/>
      <c r="I12" s="214"/>
      <c r="J12" s="214"/>
    </row>
    <row r="13" spans="1:10" ht="18">
      <c r="A13" s="366" t="s">
        <v>456</v>
      </c>
      <c r="E13" s="214"/>
      <c r="F13" s="214"/>
      <c r="G13" s="214"/>
      <c r="H13" s="214"/>
      <c r="I13" s="214"/>
      <c r="J13" s="214"/>
    </row>
    <row r="14" spans="1:10" ht="18">
      <c r="A14" s="366" t="s">
        <v>457</v>
      </c>
      <c r="E14" s="214"/>
      <c r="F14" s="214"/>
      <c r="G14" s="214"/>
      <c r="H14" s="214"/>
      <c r="I14" s="214"/>
      <c r="J14" s="214"/>
    </row>
    <row r="15" spans="1:10" ht="48.75" customHeight="1">
      <c r="A15" s="366" t="s">
        <v>458</v>
      </c>
      <c r="E15" s="214"/>
      <c r="F15" s="214"/>
      <c r="G15" s="214"/>
      <c r="H15" s="214"/>
      <c r="I15" s="214"/>
      <c r="J15" s="214"/>
    </row>
    <row r="16" spans="1:10" ht="18">
      <c r="A16" s="366" t="s">
        <v>459</v>
      </c>
      <c r="E16" s="214"/>
      <c r="F16" s="214"/>
      <c r="G16" s="214"/>
      <c r="H16" s="214"/>
      <c r="I16" s="214"/>
      <c r="J16" s="214"/>
    </row>
    <row r="17" spans="1:10" ht="15.75">
      <c r="A17" s="366" t="s">
        <v>460</v>
      </c>
      <c r="E17" s="215"/>
      <c r="F17" s="215"/>
      <c r="G17" s="215"/>
      <c r="H17" s="215"/>
      <c r="I17" s="215"/>
      <c r="J17" s="215"/>
    </row>
    <row r="18" ht="15">
      <c r="A18" s="366" t="s">
        <v>461</v>
      </c>
    </row>
    <row r="19" ht="15">
      <c r="A19" s="366" t="s">
        <v>462</v>
      </c>
    </row>
    <row r="20" ht="15">
      <c r="A20" s="366" t="s">
        <v>463</v>
      </c>
    </row>
    <row r="21" ht="15">
      <c r="A21" s="366" t="s">
        <v>464</v>
      </c>
    </row>
    <row r="22" ht="15">
      <c r="A22" s="366"/>
    </row>
    <row r="23" ht="15">
      <c r="A23" s="367" t="s">
        <v>465</v>
      </c>
    </row>
    <row r="24" spans="1:4" ht="15">
      <c r="A24" s="501" t="s">
        <v>466</v>
      </c>
      <c r="B24" s="501"/>
      <c r="C24" s="501"/>
      <c r="D24" s="501"/>
    </row>
    <row r="25" spans="1:4" ht="9.75" customHeight="1">
      <c r="A25" s="501" t="s">
        <v>467</v>
      </c>
      <c r="B25" s="501"/>
      <c r="C25" s="501"/>
      <c r="D25" s="501"/>
    </row>
    <row r="26" spans="1:4" ht="15">
      <c r="A26" s="501" t="s">
        <v>468</v>
      </c>
      <c r="B26" s="501"/>
      <c r="C26" s="501"/>
      <c r="D26" s="501"/>
    </row>
    <row r="27" spans="1:4" ht="15">
      <c r="A27" s="501"/>
      <c r="B27" s="501"/>
      <c r="C27" s="501"/>
      <c r="D27" s="501"/>
    </row>
    <row r="28" spans="1:4" ht="15.75" thickBot="1">
      <c r="A28" s="368" t="s">
        <v>469</v>
      </c>
      <c r="B28" s="368"/>
      <c r="C28" s="368"/>
      <c r="D28" s="368"/>
    </row>
    <row r="29" spans="1:4" ht="15.75" thickBot="1">
      <c r="A29" s="502" t="s">
        <v>470</v>
      </c>
      <c r="B29" s="369" t="s">
        <v>471</v>
      </c>
      <c r="C29" s="369" t="s">
        <v>472</v>
      </c>
      <c r="D29" s="369" t="s">
        <v>473</v>
      </c>
    </row>
    <row r="30" spans="1:4" ht="27.75" customHeight="1" thickBot="1">
      <c r="A30" s="502"/>
      <c r="B30" s="370">
        <v>0.03</v>
      </c>
      <c r="C30" s="370">
        <v>0.04</v>
      </c>
      <c r="D30" s="370">
        <v>0.055</v>
      </c>
    </row>
    <row r="31" ht="15">
      <c r="A31" s="371"/>
    </row>
    <row r="32" spans="2:3" ht="15.75">
      <c r="B32" s="372" t="s">
        <v>474</v>
      </c>
      <c r="C32" s="373">
        <v>0.03</v>
      </c>
    </row>
    <row r="33" spans="1:8" ht="15">
      <c r="A33" s="374"/>
      <c r="G33" s="216"/>
      <c r="H33" s="216"/>
    </row>
    <row r="34" spans="1:7" ht="15">
      <c r="A34" s="366" t="s">
        <v>475</v>
      </c>
      <c r="G34" s="216"/>
    </row>
    <row r="35" ht="15.75" thickBot="1">
      <c r="A35" s="366"/>
    </row>
    <row r="36" spans="1:15" ht="16.5" thickBot="1">
      <c r="A36" s="503" t="s">
        <v>476</v>
      </c>
      <c r="B36" s="504"/>
      <c r="C36" s="504"/>
      <c r="D36" s="505"/>
      <c r="F36" s="217"/>
      <c r="G36" s="217"/>
      <c r="H36" s="217"/>
      <c r="I36" s="217"/>
      <c r="J36" s="217"/>
      <c r="K36" s="217"/>
      <c r="L36" s="217"/>
      <c r="M36" s="217"/>
      <c r="N36" s="217"/>
      <c r="O36" s="217"/>
    </row>
    <row r="37" spans="1:15" ht="15.75" thickBot="1">
      <c r="A37" s="375" t="s">
        <v>477</v>
      </c>
      <c r="B37" s="506" t="s">
        <v>478</v>
      </c>
      <c r="C37" s="507"/>
      <c r="D37" s="508"/>
      <c r="F37" s="217"/>
      <c r="G37" s="217"/>
      <c r="H37" s="217"/>
      <c r="I37" s="217"/>
      <c r="J37" s="217"/>
      <c r="K37" s="217"/>
      <c r="L37" s="217"/>
      <c r="M37" s="217"/>
      <c r="N37" s="217"/>
      <c r="O37" s="217"/>
    </row>
    <row r="38" spans="1:15" ht="30.75" thickBot="1">
      <c r="A38" s="376" t="s">
        <v>479</v>
      </c>
      <c r="B38" s="509" t="s">
        <v>480</v>
      </c>
      <c r="C38" s="510"/>
      <c r="D38" s="511"/>
      <c r="F38" s="217"/>
      <c r="G38" s="217"/>
      <c r="H38" s="217"/>
      <c r="I38" s="217"/>
      <c r="J38" s="217"/>
      <c r="K38" s="217"/>
      <c r="L38" s="217"/>
      <c r="M38" s="217"/>
      <c r="N38" s="217"/>
      <c r="O38" s="217"/>
    </row>
    <row r="39" spans="1:15" ht="15" customHeight="1" thickBot="1">
      <c r="A39" s="375" t="s">
        <v>481</v>
      </c>
      <c r="B39" s="512" t="s">
        <v>482</v>
      </c>
      <c r="C39" s="513"/>
      <c r="D39" s="514"/>
      <c r="F39" s="217"/>
      <c r="G39" s="217"/>
      <c r="H39" s="218"/>
      <c r="I39" s="218"/>
      <c r="J39" s="218"/>
      <c r="K39" s="218"/>
      <c r="L39" s="218"/>
      <c r="M39" s="218"/>
      <c r="N39" s="218"/>
      <c r="O39" s="218"/>
    </row>
    <row r="40" spans="1:16" ht="30" customHeight="1" thickBot="1">
      <c r="A40" s="376" t="s">
        <v>483</v>
      </c>
      <c r="B40" s="509" t="s">
        <v>484</v>
      </c>
      <c r="C40" s="510"/>
      <c r="D40" s="511"/>
      <c r="F40" s="217"/>
      <c r="G40" s="217"/>
      <c r="H40" s="219"/>
      <c r="I40" s="219"/>
      <c r="J40" s="219"/>
      <c r="K40" s="219"/>
      <c r="L40" s="219"/>
      <c r="M40" s="219"/>
      <c r="N40" s="219"/>
      <c r="O40" s="219"/>
      <c r="P40" s="220"/>
    </row>
    <row r="41" spans="1:16" ht="45.75" thickBot="1">
      <c r="A41" s="375" t="s">
        <v>485</v>
      </c>
      <c r="B41" s="512" t="s">
        <v>486</v>
      </c>
      <c r="C41" s="513"/>
      <c r="D41" s="514"/>
      <c r="F41" s="217"/>
      <c r="G41" s="217"/>
      <c r="H41" s="219"/>
      <c r="I41" s="219"/>
      <c r="J41" s="219"/>
      <c r="K41" s="219"/>
      <c r="L41" s="219"/>
      <c r="M41" s="219"/>
      <c r="N41" s="219"/>
      <c r="O41" s="219"/>
      <c r="P41" s="220"/>
    </row>
    <row r="42" spans="1:15" ht="15.75" thickBot="1">
      <c r="A42" s="376" t="s">
        <v>487</v>
      </c>
      <c r="B42" s="509" t="s">
        <v>488</v>
      </c>
      <c r="C42" s="510"/>
      <c r="D42" s="511"/>
      <c r="F42" s="217"/>
      <c r="G42" s="217"/>
      <c r="H42" s="218"/>
      <c r="I42" s="218"/>
      <c r="J42" s="218"/>
      <c r="K42" s="218"/>
      <c r="L42" s="218"/>
      <c r="M42" s="218"/>
      <c r="N42" s="218"/>
      <c r="O42" s="218"/>
    </row>
    <row r="43" spans="1:15" ht="15">
      <c r="A43" s="377"/>
      <c r="F43" s="217"/>
      <c r="G43" s="217"/>
      <c r="H43" s="218"/>
      <c r="I43" s="218"/>
      <c r="J43" s="218"/>
      <c r="K43" s="218"/>
      <c r="L43" s="218"/>
      <c r="M43" s="218"/>
      <c r="N43" s="218"/>
      <c r="O43" s="218"/>
    </row>
    <row r="44" ht="15">
      <c r="A44" s="367" t="s">
        <v>489</v>
      </c>
    </row>
    <row r="45" ht="15">
      <c r="A45" s="366"/>
    </row>
    <row r="46" spans="1:4" ht="15">
      <c r="A46" s="501" t="s">
        <v>490</v>
      </c>
      <c r="B46" s="501"/>
      <c r="C46" s="501"/>
      <c r="D46" s="501"/>
    </row>
    <row r="47" ht="15">
      <c r="A47" s="366"/>
    </row>
    <row r="48" spans="1:4" ht="66.75" customHeight="1" thickBot="1">
      <c r="A48" s="378" t="s">
        <v>469</v>
      </c>
      <c r="B48" s="368"/>
      <c r="C48" s="368"/>
      <c r="D48" s="368"/>
    </row>
    <row r="49" spans="1:4" ht="15.75" thickBot="1">
      <c r="A49" s="502" t="s">
        <v>491</v>
      </c>
      <c r="B49" s="379" t="s">
        <v>471</v>
      </c>
      <c r="C49" s="379" t="s">
        <v>472</v>
      </c>
      <c r="D49" s="379" t="s">
        <v>473</v>
      </c>
    </row>
    <row r="50" spans="1:4" ht="15.75" thickBot="1">
      <c r="A50" s="502"/>
      <c r="B50" s="380">
        <v>0.008</v>
      </c>
      <c r="C50" s="380">
        <v>0.008</v>
      </c>
      <c r="D50" s="380">
        <v>0.01</v>
      </c>
    </row>
    <row r="51" ht="15">
      <c r="A51" s="371"/>
    </row>
    <row r="52" spans="1:3" ht="15.75">
      <c r="A52" s="381"/>
      <c r="B52" s="372" t="s">
        <v>492</v>
      </c>
      <c r="C52" s="373">
        <v>0.01</v>
      </c>
    </row>
    <row r="53" ht="15">
      <c r="A53" s="374"/>
    </row>
    <row r="54" spans="1:4" ht="15">
      <c r="A54" s="501" t="s">
        <v>493</v>
      </c>
      <c r="B54" s="515"/>
      <c r="C54" s="515"/>
      <c r="D54" s="515"/>
    </row>
    <row r="55" spans="1:4" ht="15">
      <c r="A55" s="501" t="s">
        <v>494</v>
      </c>
      <c r="B55" s="501"/>
      <c r="C55" s="501"/>
      <c r="D55" s="501"/>
    </row>
    <row r="56" ht="15">
      <c r="A56" s="382"/>
    </row>
    <row r="57" ht="15.75" thickBot="1">
      <c r="A57" s="378" t="s">
        <v>495</v>
      </c>
    </row>
    <row r="58" spans="1:4" ht="15.75" thickBot="1">
      <c r="A58" s="502" t="s">
        <v>496</v>
      </c>
      <c r="B58" s="379" t="s">
        <v>471</v>
      </c>
      <c r="C58" s="379" t="s">
        <v>472</v>
      </c>
      <c r="D58" s="379" t="s">
        <v>473</v>
      </c>
    </row>
    <row r="59" spans="1:4" ht="15.75" thickBot="1">
      <c r="A59" s="502"/>
      <c r="B59" s="380">
        <v>0.0097</v>
      </c>
      <c r="C59" s="380">
        <v>0.0127</v>
      </c>
      <c r="D59" s="380">
        <v>0.0127</v>
      </c>
    </row>
    <row r="60" ht="15">
      <c r="A60" s="383"/>
    </row>
    <row r="61" spans="1:3" ht="15.75">
      <c r="A61" s="384"/>
      <c r="B61" s="372" t="s">
        <v>497</v>
      </c>
      <c r="C61" s="373">
        <v>0.0097</v>
      </c>
    </row>
    <row r="62" ht="15">
      <c r="A62" s="385"/>
    </row>
    <row r="63" ht="15">
      <c r="A63" s="367" t="s">
        <v>498</v>
      </c>
    </row>
    <row r="64" ht="15">
      <c r="A64" s="366"/>
    </row>
    <row r="65" spans="1:4" ht="15">
      <c r="A65" s="501" t="s">
        <v>499</v>
      </c>
      <c r="B65" s="501"/>
      <c r="C65" s="501"/>
      <c r="D65" s="501"/>
    </row>
    <row r="66" ht="15">
      <c r="A66" s="366"/>
    </row>
    <row r="67" ht="15.75" thickBot="1">
      <c r="A67" s="378" t="s">
        <v>469</v>
      </c>
    </row>
    <row r="68" spans="1:4" ht="15.75" thickBot="1">
      <c r="A68" s="502" t="s">
        <v>500</v>
      </c>
      <c r="B68" s="379" t="s">
        <v>471</v>
      </c>
      <c r="C68" s="379" t="s">
        <v>472</v>
      </c>
      <c r="D68" s="379" t="s">
        <v>473</v>
      </c>
    </row>
    <row r="69" spans="1:4" ht="15.75" thickBot="1">
      <c r="A69" s="502"/>
      <c r="B69" s="380">
        <v>0.0059</v>
      </c>
      <c r="C69" s="380">
        <v>0.0123</v>
      </c>
      <c r="D69" s="380">
        <v>0.0139</v>
      </c>
    </row>
    <row r="70" ht="15">
      <c r="A70" s="371"/>
    </row>
    <row r="71" spans="1:3" ht="15.75">
      <c r="A71" s="381"/>
      <c r="B71" s="372" t="s">
        <v>501</v>
      </c>
      <c r="C71" s="373">
        <v>0.0123</v>
      </c>
    </row>
    <row r="72" ht="15">
      <c r="A72" s="374"/>
    </row>
    <row r="73" ht="15">
      <c r="A73" s="367" t="s">
        <v>502</v>
      </c>
    </row>
    <row r="74" ht="15">
      <c r="A74" s="367"/>
    </row>
    <row r="75" spans="1:4" ht="15">
      <c r="A75" s="516" t="s">
        <v>503</v>
      </c>
      <c r="B75" s="516"/>
      <c r="C75" s="516"/>
      <c r="D75" s="516"/>
    </row>
    <row r="76" spans="1:4" ht="15">
      <c r="A76" s="516" t="s">
        <v>504</v>
      </c>
      <c r="B76" s="516"/>
      <c r="C76" s="516"/>
      <c r="D76" s="516"/>
    </row>
    <row r="77" ht="15">
      <c r="A77" s="366"/>
    </row>
    <row r="78" ht="15.75" thickBot="1">
      <c r="A78" s="378" t="s">
        <v>469</v>
      </c>
    </row>
    <row r="79" spans="1:4" ht="15.75" thickBot="1">
      <c r="A79" s="502" t="s">
        <v>221</v>
      </c>
      <c r="B79" s="379" t="s">
        <v>471</v>
      </c>
      <c r="C79" s="379" t="s">
        <v>472</v>
      </c>
      <c r="D79" s="379" t="s">
        <v>473</v>
      </c>
    </row>
    <row r="80" spans="1:4" ht="15.75" thickBot="1">
      <c r="A80" s="502"/>
      <c r="B80" s="380">
        <v>0.0616</v>
      </c>
      <c r="C80" s="380">
        <v>0.074</v>
      </c>
      <c r="D80" s="380">
        <v>0.0896</v>
      </c>
    </row>
    <row r="81" ht="15">
      <c r="A81" s="371"/>
    </row>
    <row r="82" spans="1:3" ht="15.75">
      <c r="A82" s="381"/>
      <c r="B82" s="372" t="s">
        <v>505</v>
      </c>
      <c r="C82" s="373">
        <v>0.074</v>
      </c>
    </row>
    <row r="83" ht="15">
      <c r="A83" s="374"/>
    </row>
    <row r="84" ht="15">
      <c r="A84" s="367" t="s">
        <v>506</v>
      </c>
    </row>
    <row r="85" ht="15">
      <c r="A85" s="366" t="s">
        <v>456</v>
      </c>
    </row>
    <row r="86" spans="1:4" ht="15">
      <c r="A86" s="501" t="s">
        <v>507</v>
      </c>
      <c r="B86" s="501"/>
      <c r="C86" s="501"/>
      <c r="D86" s="501"/>
    </row>
    <row r="87" spans="1:4" ht="15">
      <c r="A87" s="501" t="s">
        <v>508</v>
      </c>
      <c r="B87" s="501"/>
      <c r="C87" s="501"/>
      <c r="D87" s="501"/>
    </row>
    <row r="88" spans="1:4" ht="15">
      <c r="A88" s="501" t="s">
        <v>509</v>
      </c>
      <c r="B88" s="501"/>
      <c r="C88" s="501"/>
      <c r="D88" s="501"/>
    </row>
    <row r="89" ht="15">
      <c r="A89" s="386"/>
    </row>
    <row r="90" spans="1:3" ht="15.75">
      <c r="A90" s="387"/>
      <c r="B90" s="372" t="s">
        <v>510</v>
      </c>
      <c r="C90" s="373">
        <v>0.0615</v>
      </c>
    </row>
    <row r="92" ht="15">
      <c r="A92" s="367" t="s">
        <v>511</v>
      </c>
    </row>
    <row r="93" spans="1:4" ht="15">
      <c r="A93" s="501" t="s">
        <v>512</v>
      </c>
      <c r="B93" s="501"/>
      <c r="C93" s="501"/>
      <c r="D93" s="501"/>
    </row>
    <row r="94" ht="15">
      <c r="A94" s="388"/>
    </row>
    <row r="95" spans="2:3" ht="15.75">
      <c r="B95" s="372" t="s">
        <v>513</v>
      </c>
      <c r="C95" s="373">
        <f>((1+(C32+C52+C61))*(1+C71)*(1+C82))/(1-C90)-1</f>
        <v>0.21603041762386788</v>
      </c>
    </row>
    <row r="96" ht="15">
      <c r="A96" s="389"/>
    </row>
    <row r="97" spans="1:4" ht="15">
      <c r="A97" s="520" t="s">
        <v>514</v>
      </c>
      <c r="B97" s="521"/>
      <c r="C97" s="521"/>
      <c r="D97" s="521"/>
    </row>
    <row r="98" ht="15">
      <c r="A98" s="390"/>
    </row>
    <row r="99" spans="1:4" ht="15">
      <c r="A99" s="522"/>
      <c r="B99" s="522"/>
      <c r="C99" s="522"/>
      <c r="D99" s="522"/>
    </row>
    <row r="100" ht="15">
      <c r="A100" s="391"/>
    </row>
    <row r="101" ht="15">
      <c r="A101" s="391"/>
    </row>
    <row r="104" spans="2:3" ht="15">
      <c r="B104" s="517" t="s">
        <v>515</v>
      </c>
      <c r="C104" s="517"/>
    </row>
    <row r="105" spans="2:3" ht="15">
      <c r="B105" s="518">
        <f>100/(100-4.5)*(1+C95)-1</f>
        <v>0.27333028023441663</v>
      </c>
      <c r="C105" s="518"/>
    </row>
    <row r="107" spans="1:4" ht="40.5" customHeight="1">
      <c r="A107" s="519" t="s">
        <v>520</v>
      </c>
      <c r="B107" s="519"/>
      <c r="C107" s="519"/>
      <c r="D107" s="519"/>
    </row>
    <row r="110" spans="2:3" ht="15">
      <c r="B110" s="392"/>
      <c r="C110" s="392"/>
    </row>
    <row r="111" spans="2:3" ht="15.75">
      <c r="B111" s="266"/>
      <c r="C111" s="266" t="s">
        <v>291</v>
      </c>
    </row>
    <row r="112" spans="2:3" ht="15.75">
      <c r="B112" s="266"/>
      <c r="C112" s="266" t="s">
        <v>292</v>
      </c>
    </row>
    <row r="113" spans="2:3" ht="15.75">
      <c r="B113" s="266"/>
      <c r="C113" s="266" t="s">
        <v>293</v>
      </c>
    </row>
  </sheetData>
  <sheetProtection selectLockedCells="1" selectUnlockedCells="1"/>
  <mergeCells count="33">
    <mergeCell ref="B104:C104"/>
    <mergeCell ref="B105:C105"/>
    <mergeCell ref="A107:D107"/>
    <mergeCell ref="A86:D86"/>
    <mergeCell ref="A87:D87"/>
    <mergeCell ref="A88:D88"/>
    <mergeCell ref="A93:D93"/>
    <mergeCell ref="A97:D97"/>
    <mergeCell ref="A99:D99"/>
    <mergeCell ref="A58:A59"/>
    <mergeCell ref="A65:D65"/>
    <mergeCell ref="A68:A69"/>
    <mergeCell ref="A75:D75"/>
    <mergeCell ref="A76:D76"/>
    <mergeCell ref="A79:A80"/>
    <mergeCell ref="B41:D41"/>
    <mergeCell ref="B42:D42"/>
    <mergeCell ref="A46:D46"/>
    <mergeCell ref="A49:A50"/>
    <mergeCell ref="A54:D54"/>
    <mergeCell ref="A55:D55"/>
    <mergeCell ref="A29:A30"/>
    <mergeCell ref="A36:D36"/>
    <mergeCell ref="B37:D37"/>
    <mergeCell ref="B38:D38"/>
    <mergeCell ref="B39:D39"/>
    <mergeCell ref="B40:D40"/>
    <mergeCell ref="A1:D1"/>
    <mergeCell ref="A7:D7"/>
    <mergeCell ref="A24:D24"/>
    <mergeCell ref="A25:D25"/>
    <mergeCell ref="A26:D26"/>
    <mergeCell ref="A27:D27"/>
  </mergeCells>
  <printOptions/>
  <pageMargins left="0.5118055555555555" right="0.5118055555555555" top="0.7875" bottom="0.7875" header="0.5118055555555555" footer="0.511805555555555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J100"/>
  <sheetViews>
    <sheetView tabSelected="1" zoomScale="110" zoomScaleNormal="110" zoomScalePageLayoutView="0" workbookViewId="0" topLeftCell="A82">
      <selection activeCell="C78" sqref="C78"/>
    </sheetView>
  </sheetViews>
  <sheetFormatPr defaultColWidth="9.28125" defaultRowHeight="15"/>
  <cols>
    <col min="1" max="1" width="5.28125" style="0" customWidth="1"/>
    <col min="2" max="2" width="14.00390625" style="0" bestFit="1" customWidth="1"/>
    <col min="3" max="3" width="76.00390625" style="0" bestFit="1" customWidth="1"/>
    <col min="4" max="4" width="6.00390625" style="0" customWidth="1"/>
    <col min="5" max="5" width="8.421875" style="0" bestFit="1" customWidth="1"/>
    <col min="6" max="6" width="12.00390625" style="0" bestFit="1" customWidth="1"/>
    <col min="7" max="7" width="20.140625" style="0" customWidth="1"/>
    <col min="8" max="8" width="0.5625" style="0" customWidth="1"/>
    <col min="9" max="9" width="16.28125" style="0" customWidth="1"/>
    <col min="10" max="10" width="15.28125" style="0" customWidth="1"/>
  </cols>
  <sheetData>
    <row r="1" spans="1:10" ht="15">
      <c r="A1" s="397"/>
      <c r="B1" s="397"/>
      <c r="C1" s="397"/>
      <c r="D1" s="397"/>
      <c r="E1" s="397"/>
      <c r="F1" s="397"/>
      <c r="G1" s="397"/>
      <c r="H1" s="397"/>
      <c r="I1" s="397"/>
      <c r="J1" s="397"/>
    </row>
    <row r="2" spans="1:10" ht="15">
      <c r="A2" s="397"/>
      <c r="B2" s="397"/>
      <c r="C2" s="397"/>
      <c r="D2" s="397"/>
      <c r="E2" s="397"/>
      <c r="F2" s="397"/>
      <c r="G2" s="397"/>
      <c r="H2" s="397"/>
      <c r="I2" s="397"/>
      <c r="J2" s="397"/>
    </row>
    <row r="3" spans="1:10" ht="15">
      <c r="A3" s="397"/>
      <c r="B3" s="397"/>
      <c r="C3" s="397"/>
      <c r="D3" s="397"/>
      <c r="E3" s="397"/>
      <c r="F3" s="397"/>
      <c r="G3" s="397"/>
      <c r="H3" s="397"/>
      <c r="I3" s="397"/>
      <c r="J3" s="397"/>
    </row>
    <row r="4" spans="1:10" ht="15">
      <c r="A4" s="397"/>
      <c r="B4" s="397"/>
      <c r="C4" s="397"/>
      <c r="D4" s="397"/>
      <c r="E4" s="397"/>
      <c r="F4" s="397"/>
      <c r="G4" s="397"/>
      <c r="H4" s="397"/>
      <c r="I4" s="397"/>
      <c r="J4" s="397"/>
    </row>
    <row r="5" spans="1:10" ht="15">
      <c r="A5" s="397"/>
      <c r="B5" s="397"/>
      <c r="C5" s="397"/>
      <c r="D5" s="397"/>
      <c r="E5" s="397"/>
      <c r="F5" s="397"/>
      <c r="G5" s="397"/>
      <c r="H5" s="397"/>
      <c r="I5" s="397"/>
      <c r="J5" s="397"/>
    </row>
    <row r="6" spans="1:10" ht="15">
      <c r="A6" s="397"/>
      <c r="B6" s="397"/>
      <c r="C6" s="397"/>
      <c r="D6" s="397"/>
      <c r="E6" s="397"/>
      <c r="F6" s="397"/>
      <c r="G6" s="397"/>
      <c r="H6" s="397"/>
      <c r="I6" s="397"/>
      <c r="J6" s="397"/>
    </row>
    <row r="7" spans="1:10" ht="15">
      <c r="A7" s="523" t="s">
        <v>523</v>
      </c>
      <c r="B7" s="523"/>
      <c r="C7" s="523"/>
      <c r="D7" s="523"/>
      <c r="E7" s="523"/>
      <c r="F7" s="523"/>
      <c r="G7" s="523"/>
      <c r="H7" s="523"/>
      <c r="I7" s="523"/>
      <c r="J7" s="523"/>
    </row>
    <row r="8" spans="1:10" ht="15">
      <c r="A8" s="523" t="s">
        <v>524</v>
      </c>
      <c r="B8" s="523"/>
      <c r="C8" s="523"/>
      <c r="D8" s="523"/>
      <c r="E8" s="523"/>
      <c r="F8" s="523"/>
      <c r="G8" s="523"/>
      <c r="H8" s="523"/>
      <c r="I8" s="523"/>
      <c r="J8" s="523"/>
    </row>
    <row r="9" spans="1:10" ht="15">
      <c r="A9" s="523" t="s">
        <v>525</v>
      </c>
      <c r="B9" s="523"/>
      <c r="C9" s="523"/>
      <c r="D9" s="523"/>
      <c r="E9" s="523"/>
      <c r="F9" s="523"/>
      <c r="G9" s="523"/>
      <c r="H9" s="523"/>
      <c r="I9" s="523"/>
      <c r="J9" s="523"/>
    </row>
    <row r="10" spans="1:10" ht="15">
      <c r="A10" s="523" t="s">
        <v>529</v>
      </c>
      <c r="B10" s="523"/>
      <c r="C10" s="523"/>
      <c r="D10" s="523"/>
      <c r="E10" s="523"/>
      <c r="F10" s="523"/>
      <c r="G10" s="523"/>
      <c r="H10" s="523"/>
      <c r="I10" s="523"/>
      <c r="J10" s="523"/>
    </row>
    <row r="11" spans="1:10" ht="15">
      <c r="A11" s="523" t="s">
        <v>530</v>
      </c>
      <c r="B11" s="523"/>
      <c r="C11" s="523"/>
      <c r="D11" s="523"/>
      <c r="E11" s="523"/>
      <c r="F11" s="523"/>
      <c r="G11" s="523"/>
      <c r="H11" s="523"/>
      <c r="I11" s="523"/>
      <c r="J11" s="523"/>
    </row>
    <row r="12" spans="1:10" ht="15">
      <c r="A12" s="524" t="s">
        <v>526</v>
      </c>
      <c r="B12" s="524"/>
      <c r="C12" s="524"/>
      <c r="D12" s="524"/>
      <c r="E12" s="524"/>
      <c r="F12" s="524"/>
      <c r="G12" s="524"/>
      <c r="H12" s="524"/>
      <c r="I12" s="524"/>
      <c r="J12" s="524"/>
    </row>
    <row r="13" spans="1:10" ht="15">
      <c r="A13" s="525" t="s">
        <v>203</v>
      </c>
      <c r="B13" s="525"/>
      <c r="C13" s="525"/>
      <c r="D13" s="525"/>
      <c r="E13" s="525"/>
      <c r="F13" s="525"/>
      <c r="G13" s="525"/>
      <c r="H13" s="525"/>
      <c r="I13" s="525"/>
      <c r="J13" s="525"/>
    </row>
    <row r="14" spans="1:10" ht="15">
      <c r="A14" s="526" t="s">
        <v>1</v>
      </c>
      <c r="B14" s="526" t="s">
        <v>2</v>
      </c>
      <c r="C14" s="526" t="s">
        <v>3</v>
      </c>
      <c r="D14" s="526" t="s">
        <v>4</v>
      </c>
      <c r="E14" s="526" t="s">
        <v>5</v>
      </c>
      <c r="F14" s="528" t="s">
        <v>6</v>
      </c>
      <c r="G14" s="529"/>
      <c r="H14" s="399"/>
      <c r="I14" s="530" t="s">
        <v>527</v>
      </c>
      <c r="J14" s="532" t="s">
        <v>528</v>
      </c>
    </row>
    <row r="15" spans="1:10" ht="15">
      <c r="A15" s="527"/>
      <c r="B15" s="527"/>
      <c r="C15" s="527"/>
      <c r="D15" s="527"/>
      <c r="E15" s="527"/>
      <c r="F15" s="398" t="s">
        <v>7</v>
      </c>
      <c r="G15" s="398" t="s">
        <v>8</v>
      </c>
      <c r="H15" s="400"/>
      <c r="I15" s="531"/>
      <c r="J15" s="532"/>
    </row>
    <row r="16" spans="1:10" ht="24">
      <c r="A16" s="594" t="s">
        <v>183</v>
      </c>
      <c r="B16" s="533" t="s">
        <v>398</v>
      </c>
      <c r="C16" s="534" t="s">
        <v>245</v>
      </c>
      <c r="D16" s="535" t="s">
        <v>13</v>
      </c>
      <c r="E16" s="536">
        <v>959</v>
      </c>
      <c r="F16" s="537">
        <v>55.54</v>
      </c>
      <c r="G16" s="538">
        <f aca="true" t="shared" si="0" ref="G16:G79">E16*F16</f>
        <v>53262.86</v>
      </c>
      <c r="H16" s="539">
        <f>G16/$G$96</f>
        <v>0.10634575263758632</v>
      </c>
      <c r="I16" s="540">
        <f>H16</f>
        <v>0.10634575263758632</v>
      </c>
      <c r="J16" s="541" t="s">
        <v>531</v>
      </c>
    </row>
    <row r="17" spans="1:10" ht="24">
      <c r="A17" s="594" t="s">
        <v>184</v>
      </c>
      <c r="B17" s="542" t="s">
        <v>246</v>
      </c>
      <c r="C17" s="543" t="s">
        <v>270</v>
      </c>
      <c r="D17" s="544" t="s">
        <v>13</v>
      </c>
      <c r="E17" s="545">
        <v>269</v>
      </c>
      <c r="F17" s="546">
        <v>170.19</v>
      </c>
      <c r="G17" s="538">
        <f t="shared" si="0"/>
        <v>45781.11</v>
      </c>
      <c r="H17" s="539">
        <f aca="true" t="shared" si="1" ref="H17:H80">G17/$G$96</f>
        <v>0.09140753236934947</v>
      </c>
      <c r="I17" s="540">
        <f>H17+I16</f>
        <v>0.1977532850069358</v>
      </c>
      <c r="J17" s="541" t="s">
        <v>531</v>
      </c>
    </row>
    <row r="18" spans="1:10" ht="36">
      <c r="A18" s="592" t="s">
        <v>48</v>
      </c>
      <c r="B18" s="547" t="s">
        <v>70</v>
      </c>
      <c r="C18" s="548" t="s">
        <v>71</v>
      </c>
      <c r="D18" s="549" t="s">
        <v>14</v>
      </c>
      <c r="E18" s="550">
        <v>841.6</v>
      </c>
      <c r="F18" s="551">
        <v>49.28</v>
      </c>
      <c r="G18" s="552">
        <f t="shared" si="0"/>
        <v>41474.048</v>
      </c>
      <c r="H18" s="553">
        <f t="shared" si="1"/>
        <v>0.08280796129774821</v>
      </c>
      <c r="I18" s="554">
        <f aca="true" t="shared" si="2" ref="I18:I81">H18+I17</f>
        <v>0.280561246304684</v>
      </c>
      <c r="J18" s="555" t="s">
        <v>532</v>
      </c>
    </row>
    <row r="19" spans="1:10" ht="33.75">
      <c r="A19" s="592" t="s">
        <v>92</v>
      </c>
      <c r="B19" s="556" t="s">
        <v>372</v>
      </c>
      <c r="C19" s="557" t="s">
        <v>371</v>
      </c>
      <c r="D19" s="558" t="s">
        <v>14</v>
      </c>
      <c r="E19" s="550">
        <f>'Memória de cálculos'!D38</f>
        <v>201.39999999999998</v>
      </c>
      <c r="F19" s="551">
        <v>167.22</v>
      </c>
      <c r="G19" s="552">
        <f t="shared" si="0"/>
        <v>33678.10799999999</v>
      </c>
      <c r="H19" s="553">
        <f t="shared" si="1"/>
        <v>0.06724242263126531</v>
      </c>
      <c r="I19" s="554">
        <f t="shared" si="2"/>
        <v>0.3478036689359493</v>
      </c>
      <c r="J19" s="555" t="s">
        <v>532</v>
      </c>
    </row>
    <row r="20" spans="1:10" ht="15">
      <c r="A20" s="591" t="s">
        <v>39</v>
      </c>
      <c r="B20" s="547" t="str">
        <f>'COMPOSIÇÕES IFAL'!A6</f>
        <v>IFAL 1</v>
      </c>
      <c r="C20" s="548" t="s">
        <v>55</v>
      </c>
      <c r="D20" s="559" t="s">
        <v>56</v>
      </c>
      <c r="E20" s="550">
        <v>1</v>
      </c>
      <c r="F20" s="551">
        <f>'COMPOSIÇÕES IFAL'!F12</f>
        <v>26824</v>
      </c>
      <c r="G20" s="552">
        <f t="shared" si="0"/>
        <v>26824</v>
      </c>
      <c r="H20" s="553">
        <f t="shared" si="1"/>
        <v>0.05355736565311392</v>
      </c>
      <c r="I20" s="554">
        <f t="shared" si="2"/>
        <v>0.4013610345890632</v>
      </c>
      <c r="J20" s="555" t="s">
        <v>532</v>
      </c>
    </row>
    <row r="21" spans="1:10" ht="24">
      <c r="A21" s="592" t="s">
        <v>104</v>
      </c>
      <c r="B21" s="560" t="s">
        <v>234</v>
      </c>
      <c r="C21" s="561" t="s">
        <v>90</v>
      </c>
      <c r="D21" s="549" t="s">
        <v>91</v>
      </c>
      <c r="E21" s="550">
        <f>172+12</f>
        <v>184</v>
      </c>
      <c r="F21" s="551">
        <v>133.95</v>
      </c>
      <c r="G21" s="552">
        <f t="shared" si="0"/>
        <v>24646.8</v>
      </c>
      <c r="H21" s="553">
        <f t="shared" si="1"/>
        <v>0.04921032209137966</v>
      </c>
      <c r="I21" s="554">
        <f t="shared" si="2"/>
        <v>0.45057135668044285</v>
      </c>
      <c r="J21" s="555" t="s">
        <v>532</v>
      </c>
    </row>
    <row r="22" spans="1:10" ht="36" customHeight="1">
      <c r="A22" s="592" t="s">
        <v>212</v>
      </c>
      <c r="B22" s="562">
        <v>72308</v>
      </c>
      <c r="C22" s="563" t="s">
        <v>242</v>
      </c>
      <c r="D22" s="562" t="s">
        <v>13</v>
      </c>
      <c r="E22" s="564">
        <v>1068</v>
      </c>
      <c r="F22" s="565">
        <v>21.24</v>
      </c>
      <c r="G22" s="552">
        <f t="shared" si="0"/>
        <v>22684.32</v>
      </c>
      <c r="H22" s="553">
        <f t="shared" si="1"/>
        <v>0.045291993022377165</v>
      </c>
      <c r="I22" s="554">
        <f t="shared" si="2"/>
        <v>0.49586334970282003</v>
      </c>
      <c r="J22" s="555" t="s">
        <v>532</v>
      </c>
    </row>
    <row r="23" spans="1:10" ht="38.25">
      <c r="A23" s="593" t="s">
        <v>182</v>
      </c>
      <c r="B23" s="566" t="s">
        <v>281</v>
      </c>
      <c r="C23" s="567" t="s">
        <v>244</v>
      </c>
      <c r="D23" s="568" t="s">
        <v>93</v>
      </c>
      <c r="E23" s="569">
        <v>2</v>
      </c>
      <c r="F23" s="570">
        <f>'COMPOSIÇÕES IFAL'!F153</f>
        <v>11129</v>
      </c>
      <c r="G23" s="421">
        <f t="shared" si="0"/>
        <v>22258</v>
      </c>
      <c r="H23" s="571">
        <f t="shared" si="1"/>
        <v>0.044440793494892994</v>
      </c>
      <c r="I23" s="572">
        <f t="shared" si="2"/>
        <v>0.540304143197713</v>
      </c>
      <c r="J23" s="573" t="s">
        <v>533</v>
      </c>
    </row>
    <row r="24" spans="1:10" ht="36">
      <c r="A24" s="590" t="s">
        <v>126</v>
      </c>
      <c r="B24" s="574" t="s">
        <v>235</v>
      </c>
      <c r="C24" s="575" t="s">
        <v>239</v>
      </c>
      <c r="D24" s="408" t="s">
        <v>13</v>
      </c>
      <c r="E24" s="415">
        <v>1300</v>
      </c>
      <c r="F24" s="420">
        <f>'COMPOSIÇÕES IFAL'!F123</f>
        <v>16.422800000000002</v>
      </c>
      <c r="G24" s="421">
        <f t="shared" si="0"/>
        <v>21349.640000000003</v>
      </c>
      <c r="H24" s="571">
        <f t="shared" si="1"/>
        <v>0.04262714270960137</v>
      </c>
      <c r="I24" s="572">
        <f t="shared" si="2"/>
        <v>0.5829312859073144</v>
      </c>
      <c r="J24" s="573" t="s">
        <v>533</v>
      </c>
    </row>
    <row r="25" spans="1:10" ht="24">
      <c r="A25" s="593" t="s">
        <v>406</v>
      </c>
      <c r="B25" s="411">
        <v>71516</v>
      </c>
      <c r="C25" s="401" t="s">
        <v>11</v>
      </c>
      <c r="D25" s="404" t="s">
        <v>10</v>
      </c>
      <c r="E25" s="415">
        <v>42</v>
      </c>
      <c r="F25" s="420">
        <v>421</v>
      </c>
      <c r="G25" s="421">
        <f t="shared" si="0"/>
        <v>17682</v>
      </c>
      <c r="H25" s="571">
        <f t="shared" si="1"/>
        <v>0.035304255125199836</v>
      </c>
      <c r="I25" s="572">
        <f t="shared" si="2"/>
        <v>0.6182355410325142</v>
      </c>
      <c r="J25" s="573" t="s">
        <v>533</v>
      </c>
    </row>
    <row r="26" spans="1:10" ht="24.75">
      <c r="A26" s="590" t="s">
        <v>423</v>
      </c>
      <c r="B26" s="411">
        <v>83635</v>
      </c>
      <c r="C26" s="407" t="s">
        <v>118</v>
      </c>
      <c r="D26" s="408" t="s">
        <v>93</v>
      </c>
      <c r="E26" s="415">
        <v>85</v>
      </c>
      <c r="F26" s="420">
        <v>186.81</v>
      </c>
      <c r="G26" s="421">
        <f t="shared" si="0"/>
        <v>15878.85</v>
      </c>
      <c r="H26" s="571">
        <f t="shared" si="1"/>
        <v>0.031704047703584405</v>
      </c>
      <c r="I26" s="572">
        <f t="shared" si="2"/>
        <v>0.6499395887360986</v>
      </c>
      <c r="J26" s="573" t="s">
        <v>533</v>
      </c>
    </row>
    <row r="27" spans="1:10" ht="15">
      <c r="A27" s="590" t="s">
        <v>122</v>
      </c>
      <c r="B27" s="402" t="s">
        <v>99</v>
      </c>
      <c r="C27" s="436" t="s">
        <v>100</v>
      </c>
      <c r="D27" s="408" t="s">
        <v>93</v>
      </c>
      <c r="E27" s="415">
        <v>102</v>
      </c>
      <c r="F27" s="420">
        <v>149.36</v>
      </c>
      <c r="G27" s="421">
        <f t="shared" si="0"/>
        <v>15234.720000000001</v>
      </c>
      <c r="H27" s="571">
        <f t="shared" si="1"/>
        <v>0.03041796412402355</v>
      </c>
      <c r="I27" s="572">
        <f t="shared" si="2"/>
        <v>0.6803575528601221</v>
      </c>
      <c r="J27" s="573" t="s">
        <v>533</v>
      </c>
    </row>
    <row r="28" spans="1:10" ht="15">
      <c r="A28" s="590" t="s">
        <v>84</v>
      </c>
      <c r="B28" s="419">
        <v>79478</v>
      </c>
      <c r="C28" s="417" t="s">
        <v>85</v>
      </c>
      <c r="D28" s="408" t="s">
        <v>74</v>
      </c>
      <c r="E28" s="415">
        <f>0.7*0.8*(243.55+118.95+112.87+93.97+95.65+44.57+23.66+27.66+94)</f>
        <v>478.73279999999994</v>
      </c>
      <c r="F28" s="420">
        <v>30.95</v>
      </c>
      <c r="G28" s="421">
        <f t="shared" si="0"/>
        <v>14816.780159999998</v>
      </c>
      <c r="H28" s="571">
        <f t="shared" si="1"/>
        <v>0.029583496601212483</v>
      </c>
      <c r="I28" s="572">
        <f t="shared" si="2"/>
        <v>0.7099410494613346</v>
      </c>
      <c r="J28" s="573" t="s">
        <v>533</v>
      </c>
    </row>
    <row r="29" spans="1:10" ht="24">
      <c r="A29" s="590" t="s">
        <v>116</v>
      </c>
      <c r="B29" s="427" t="s">
        <v>351</v>
      </c>
      <c r="C29" s="428" t="s">
        <v>352</v>
      </c>
      <c r="D29" s="429" t="s">
        <v>299</v>
      </c>
      <c r="E29" s="415">
        <v>1</v>
      </c>
      <c r="F29" s="420">
        <f>'COMPOSIÇÕES IFAL'!F186</f>
        <v>12179.289859999997</v>
      </c>
      <c r="G29" s="421">
        <f t="shared" si="0"/>
        <v>12179.289859999997</v>
      </c>
      <c r="H29" s="571">
        <f t="shared" si="1"/>
        <v>0.024317427692636538</v>
      </c>
      <c r="I29" s="572">
        <f t="shared" si="2"/>
        <v>0.7342584771539712</v>
      </c>
      <c r="J29" s="573" t="s">
        <v>533</v>
      </c>
    </row>
    <row r="30" spans="1:10" ht="15">
      <c r="A30" s="590" t="s">
        <v>105</v>
      </c>
      <c r="B30" s="411" t="s">
        <v>218</v>
      </c>
      <c r="C30" s="401" t="s">
        <v>219</v>
      </c>
      <c r="D30" s="404" t="s">
        <v>93</v>
      </c>
      <c r="E30" s="415">
        <v>172</v>
      </c>
      <c r="F30" s="420">
        <v>49.6</v>
      </c>
      <c r="G30" s="421">
        <f t="shared" si="0"/>
        <v>8531.2</v>
      </c>
      <c r="H30" s="571">
        <f t="shared" si="1"/>
        <v>0.017033574331190186</v>
      </c>
      <c r="I30" s="572">
        <f t="shared" si="2"/>
        <v>0.7512920514851614</v>
      </c>
      <c r="J30" s="573" t="s">
        <v>533</v>
      </c>
    </row>
    <row r="31" spans="1:10" ht="24.75">
      <c r="A31" s="593" t="s">
        <v>185</v>
      </c>
      <c r="B31" s="402" t="str">
        <f>'COMPOSIÇÕES IFAL'!A54</f>
        <v>IFAL 7</v>
      </c>
      <c r="C31" s="403" t="s">
        <v>143</v>
      </c>
      <c r="D31" s="404" t="s">
        <v>93</v>
      </c>
      <c r="E31" s="415">
        <v>2</v>
      </c>
      <c r="F31" s="420">
        <f>'COMPOSIÇÕES IFAL'!F62</f>
        <v>3960.76</v>
      </c>
      <c r="G31" s="421">
        <f t="shared" si="0"/>
        <v>7921.52</v>
      </c>
      <c r="H31" s="571">
        <f t="shared" si="1"/>
        <v>0.01581627435015117</v>
      </c>
      <c r="I31" s="572">
        <f t="shared" si="2"/>
        <v>0.7671083258353126</v>
      </c>
      <c r="J31" s="573" t="s">
        <v>533</v>
      </c>
    </row>
    <row r="32" spans="1:10" ht="24">
      <c r="A32" s="590" t="s">
        <v>425</v>
      </c>
      <c r="B32" s="411" t="str">
        <f>'COMPOSIÇÕES IFAL'!A75</f>
        <v>IFAL 9</v>
      </c>
      <c r="C32" s="413" t="s">
        <v>131</v>
      </c>
      <c r="D32" s="411" t="s">
        <v>96</v>
      </c>
      <c r="E32" s="576">
        <v>216</v>
      </c>
      <c r="F32" s="577">
        <f>'COMPOSIÇÕES IFAL'!F82</f>
        <v>33.39</v>
      </c>
      <c r="G32" s="421">
        <f t="shared" si="0"/>
        <v>7212.24</v>
      </c>
      <c r="H32" s="571">
        <f t="shared" si="1"/>
        <v>0.01440011090284873</v>
      </c>
      <c r="I32" s="572">
        <f t="shared" si="2"/>
        <v>0.7815084367381614</v>
      </c>
      <c r="J32" s="573" t="s">
        <v>533</v>
      </c>
    </row>
    <row r="33" spans="1:10" ht="36.75">
      <c r="A33" s="590" t="s">
        <v>427</v>
      </c>
      <c r="B33" s="411" t="s">
        <v>141</v>
      </c>
      <c r="C33" s="403" t="s">
        <v>207</v>
      </c>
      <c r="D33" s="408" t="s">
        <v>13</v>
      </c>
      <c r="E33" s="415">
        <v>138</v>
      </c>
      <c r="F33" s="420">
        <v>49.98</v>
      </c>
      <c r="G33" s="421">
        <f t="shared" si="0"/>
        <v>6897.24</v>
      </c>
      <c r="H33" s="571">
        <f t="shared" si="1"/>
        <v>0.013771175241473435</v>
      </c>
      <c r="I33" s="572">
        <f t="shared" si="2"/>
        <v>0.7952796119796348</v>
      </c>
      <c r="J33" s="573" t="s">
        <v>533</v>
      </c>
    </row>
    <row r="34" spans="1:10" ht="15">
      <c r="A34" s="590" t="s">
        <v>402</v>
      </c>
      <c r="B34" s="411" t="str">
        <f>'COMPOSIÇÕES IFAL'!A45</f>
        <v>IFAL 6</v>
      </c>
      <c r="C34" s="401" t="s">
        <v>156</v>
      </c>
      <c r="D34" s="404" t="s">
        <v>93</v>
      </c>
      <c r="E34" s="415">
        <v>35</v>
      </c>
      <c r="F34" s="420">
        <f>'COMPOSIÇÕES IFAL'!F52</f>
        <v>195.28</v>
      </c>
      <c r="G34" s="421">
        <f t="shared" si="0"/>
        <v>6834.8</v>
      </c>
      <c r="H34" s="571">
        <f t="shared" si="1"/>
        <v>0.013646506217040822</v>
      </c>
      <c r="I34" s="572">
        <f t="shared" si="2"/>
        <v>0.8089261181966756</v>
      </c>
      <c r="J34" s="573" t="s">
        <v>533</v>
      </c>
    </row>
    <row r="35" spans="1:10" ht="15">
      <c r="A35" s="590" t="s">
        <v>393</v>
      </c>
      <c r="B35" s="411" t="s">
        <v>216</v>
      </c>
      <c r="C35" s="578" t="s">
        <v>217</v>
      </c>
      <c r="D35" s="404" t="s">
        <v>13</v>
      </c>
      <c r="E35" s="415">
        <v>1200</v>
      </c>
      <c r="F35" s="577">
        <v>5.29</v>
      </c>
      <c r="G35" s="421">
        <f t="shared" si="0"/>
        <v>6348</v>
      </c>
      <c r="H35" s="571">
        <f t="shared" si="1"/>
        <v>0.01267455104257259</v>
      </c>
      <c r="I35" s="572">
        <f t="shared" si="2"/>
        <v>0.8216006692392481</v>
      </c>
      <c r="J35" s="573" t="s">
        <v>533</v>
      </c>
    </row>
    <row r="36" spans="1:10" ht="15">
      <c r="A36" s="593" t="s">
        <v>403</v>
      </c>
      <c r="B36" s="411" t="s">
        <v>107</v>
      </c>
      <c r="C36" s="579" t="s">
        <v>108</v>
      </c>
      <c r="D36" s="404" t="s">
        <v>93</v>
      </c>
      <c r="E36" s="415">
        <v>2</v>
      </c>
      <c r="F36" s="420">
        <v>2953.46</v>
      </c>
      <c r="G36" s="421">
        <f t="shared" si="0"/>
        <v>5906.92</v>
      </c>
      <c r="H36" s="571">
        <f t="shared" si="1"/>
        <v>0.0117938813869554</v>
      </c>
      <c r="I36" s="572">
        <f t="shared" si="2"/>
        <v>0.8333945506262035</v>
      </c>
      <c r="J36" s="573" t="s">
        <v>533</v>
      </c>
    </row>
    <row r="37" spans="1:10" ht="36">
      <c r="A37" s="593" t="s">
        <v>405</v>
      </c>
      <c r="B37" s="411">
        <v>72288</v>
      </c>
      <c r="C37" s="401" t="s">
        <v>247</v>
      </c>
      <c r="D37" s="404" t="s">
        <v>96</v>
      </c>
      <c r="E37" s="415">
        <v>21</v>
      </c>
      <c r="F37" s="420">
        <v>250.37</v>
      </c>
      <c r="G37" s="421">
        <f t="shared" si="0"/>
        <v>5257.77</v>
      </c>
      <c r="H37" s="571">
        <f t="shared" si="1"/>
        <v>0.010497774769235491</v>
      </c>
      <c r="I37" s="572">
        <f t="shared" si="2"/>
        <v>0.843892325395439</v>
      </c>
      <c r="J37" s="573" t="s">
        <v>533</v>
      </c>
    </row>
    <row r="38" spans="1:10" ht="15">
      <c r="A38" s="590" t="s">
        <v>106</v>
      </c>
      <c r="B38" s="411" t="s">
        <v>95</v>
      </c>
      <c r="C38" s="405" t="s">
        <v>128</v>
      </c>
      <c r="D38" s="406" t="s">
        <v>96</v>
      </c>
      <c r="E38" s="425">
        <v>12</v>
      </c>
      <c r="F38" s="420">
        <v>421.68</v>
      </c>
      <c r="G38" s="421">
        <f t="shared" si="0"/>
        <v>5060.16</v>
      </c>
      <c r="H38" s="571">
        <f t="shared" si="1"/>
        <v>0.010103222464332722</v>
      </c>
      <c r="I38" s="572">
        <f t="shared" si="2"/>
        <v>0.8539955478597717</v>
      </c>
      <c r="J38" s="573" t="s">
        <v>533</v>
      </c>
    </row>
    <row r="39" spans="1:10" ht="24.75">
      <c r="A39" s="590" t="s">
        <v>187</v>
      </c>
      <c r="B39" s="411">
        <v>84090</v>
      </c>
      <c r="C39" s="407" t="s">
        <v>147</v>
      </c>
      <c r="D39" s="408" t="s">
        <v>125</v>
      </c>
      <c r="E39" s="415">
        <v>76</v>
      </c>
      <c r="F39" s="420">
        <v>58.34</v>
      </c>
      <c r="G39" s="421">
        <f t="shared" si="0"/>
        <v>4433.84</v>
      </c>
      <c r="H39" s="571">
        <f t="shared" si="1"/>
        <v>0.008852698707403916</v>
      </c>
      <c r="I39" s="572">
        <f t="shared" si="2"/>
        <v>0.8628482465671756</v>
      </c>
      <c r="J39" s="573" t="s">
        <v>533</v>
      </c>
    </row>
    <row r="40" spans="1:10" ht="24.75">
      <c r="A40" s="590" t="s">
        <v>422</v>
      </c>
      <c r="B40" s="411">
        <v>72554</v>
      </c>
      <c r="C40" s="407" t="s">
        <v>132</v>
      </c>
      <c r="D40" s="408" t="s">
        <v>93</v>
      </c>
      <c r="E40" s="415">
        <v>8</v>
      </c>
      <c r="F40" s="420">
        <v>533.31</v>
      </c>
      <c r="G40" s="421">
        <f t="shared" si="0"/>
        <v>4266.48</v>
      </c>
      <c r="H40" s="571">
        <f t="shared" si="1"/>
        <v>0.008518544192204647</v>
      </c>
      <c r="I40" s="572">
        <f t="shared" si="2"/>
        <v>0.8713667907593803</v>
      </c>
      <c r="J40" s="573" t="s">
        <v>533</v>
      </c>
    </row>
    <row r="41" spans="1:10" ht="15">
      <c r="A41" s="590" t="s">
        <v>45</v>
      </c>
      <c r="B41" s="409" t="s">
        <v>275</v>
      </c>
      <c r="C41" s="410" t="s">
        <v>274</v>
      </c>
      <c r="D41" s="408" t="s">
        <v>277</v>
      </c>
      <c r="E41" s="415">
        <v>300</v>
      </c>
      <c r="F41" s="420">
        <v>13.24</v>
      </c>
      <c r="G41" s="421">
        <f t="shared" si="0"/>
        <v>3972</v>
      </c>
      <c r="H41" s="571">
        <f t="shared" si="1"/>
        <v>0.007930579196770373</v>
      </c>
      <c r="I41" s="572">
        <f t="shared" si="2"/>
        <v>0.8792973699561507</v>
      </c>
      <c r="J41" s="573" t="s">
        <v>533</v>
      </c>
    </row>
    <row r="42" spans="1:10" ht="24.75">
      <c r="A42" s="593" t="s">
        <v>408</v>
      </c>
      <c r="B42" s="411" t="s">
        <v>12</v>
      </c>
      <c r="C42" s="403" t="s">
        <v>130</v>
      </c>
      <c r="D42" s="404" t="s">
        <v>93</v>
      </c>
      <c r="E42" s="415">
        <v>21</v>
      </c>
      <c r="F42" s="420">
        <v>173.74</v>
      </c>
      <c r="G42" s="421">
        <f t="shared" si="0"/>
        <v>3648.54</v>
      </c>
      <c r="H42" s="571">
        <f t="shared" si="1"/>
        <v>0.007284752120489572</v>
      </c>
      <c r="I42" s="572">
        <f t="shared" si="2"/>
        <v>0.8865821220766403</v>
      </c>
      <c r="J42" s="573" t="s">
        <v>533</v>
      </c>
    </row>
    <row r="43" spans="1:10" ht="24">
      <c r="A43" s="590" t="s">
        <v>401</v>
      </c>
      <c r="B43" s="411" t="s">
        <v>220</v>
      </c>
      <c r="C43" s="401" t="s">
        <v>206</v>
      </c>
      <c r="D43" s="404" t="s">
        <v>93</v>
      </c>
      <c r="E43" s="415">
        <v>35</v>
      </c>
      <c r="F43" s="420">
        <v>101.5</v>
      </c>
      <c r="G43" s="421">
        <f t="shared" si="0"/>
        <v>3552.5</v>
      </c>
      <c r="H43" s="571">
        <f t="shared" si="1"/>
        <v>0.00709299662551026</v>
      </c>
      <c r="I43" s="572">
        <f t="shared" si="2"/>
        <v>0.8936751187021506</v>
      </c>
      <c r="J43" s="573" t="s">
        <v>533</v>
      </c>
    </row>
    <row r="44" spans="1:10" ht="27" customHeight="1">
      <c r="A44" s="590" t="s">
        <v>358</v>
      </c>
      <c r="B44" s="419" t="str">
        <f>'COMPOSIÇÕES IFAL'!A206</f>
        <v>IFAL 18</v>
      </c>
      <c r="C44" s="433" t="s">
        <v>359</v>
      </c>
      <c r="D44" s="434" t="s">
        <v>14</v>
      </c>
      <c r="E44" s="415">
        <f>'Memória de cálculos'!D25</f>
        <v>205.39999999999998</v>
      </c>
      <c r="F44" s="420">
        <f>'COMPOSIÇÕES IFAL'!F214</f>
        <v>16.003000000000004</v>
      </c>
      <c r="G44" s="421">
        <f t="shared" si="0"/>
        <v>3287.0162000000005</v>
      </c>
      <c r="H44" s="571">
        <f t="shared" si="1"/>
        <v>0.0065629260561850975</v>
      </c>
      <c r="I44" s="572">
        <f t="shared" si="2"/>
        <v>0.9002380447583357</v>
      </c>
      <c r="J44" s="573" t="s">
        <v>533</v>
      </c>
    </row>
    <row r="45" spans="1:10" ht="15">
      <c r="A45" s="590" t="s">
        <v>72</v>
      </c>
      <c r="B45" s="419">
        <v>73616</v>
      </c>
      <c r="C45" s="417" t="s">
        <v>73</v>
      </c>
      <c r="D45" s="408" t="s">
        <v>74</v>
      </c>
      <c r="E45" s="415">
        <v>21</v>
      </c>
      <c r="F45" s="420">
        <v>154.33</v>
      </c>
      <c r="G45" s="421">
        <f t="shared" si="0"/>
        <v>3240.9300000000003</v>
      </c>
      <c r="H45" s="571">
        <f t="shared" si="1"/>
        <v>0.006470909374669941</v>
      </c>
      <c r="I45" s="572">
        <f t="shared" si="2"/>
        <v>0.9067089541330057</v>
      </c>
      <c r="J45" s="573" t="s">
        <v>533</v>
      </c>
    </row>
    <row r="46" spans="1:10" ht="24">
      <c r="A46" s="593" t="s">
        <v>133</v>
      </c>
      <c r="B46" s="412" t="s">
        <v>225</v>
      </c>
      <c r="C46" s="413" t="s">
        <v>224</v>
      </c>
      <c r="D46" s="568" t="s">
        <v>93</v>
      </c>
      <c r="E46" s="580">
        <v>2</v>
      </c>
      <c r="F46" s="423">
        <f>'COMPOSIÇÕES IFAL'!F102</f>
        <v>1552.67</v>
      </c>
      <c r="G46" s="421">
        <f t="shared" si="0"/>
        <v>3105.34</v>
      </c>
      <c r="H46" s="571">
        <f t="shared" si="1"/>
        <v>0.0062001875133179535</v>
      </c>
      <c r="I46" s="572">
        <f t="shared" si="2"/>
        <v>0.9129091416463236</v>
      </c>
      <c r="J46" s="573" t="s">
        <v>533</v>
      </c>
    </row>
    <row r="47" spans="1:10" ht="36">
      <c r="A47" s="590" t="s">
        <v>41</v>
      </c>
      <c r="B47" s="409" t="s">
        <v>60</v>
      </c>
      <c r="C47" s="414" t="s">
        <v>61</v>
      </c>
      <c r="D47" s="408" t="s">
        <v>59</v>
      </c>
      <c r="E47" s="415">
        <v>4</v>
      </c>
      <c r="F47" s="420">
        <v>772.49</v>
      </c>
      <c r="G47" s="421">
        <f t="shared" si="0"/>
        <v>3089.96</v>
      </c>
      <c r="H47" s="571">
        <f t="shared" si="1"/>
        <v>0.006169479480073662</v>
      </c>
      <c r="I47" s="572">
        <f t="shared" si="2"/>
        <v>0.9190786211263973</v>
      </c>
      <c r="J47" s="573" t="s">
        <v>533</v>
      </c>
    </row>
    <row r="48" spans="1:10" ht="15">
      <c r="A48" s="590" t="s">
        <v>297</v>
      </c>
      <c r="B48" s="416">
        <v>72887</v>
      </c>
      <c r="C48" s="417" t="s">
        <v>81</v>
      </c>
      <c r="D48" s="418" t="s">
        <v>82</v>
      </c>
      <c r="E48" s="415">
        <v>3400</v>
      </c>
      <c r="F48" s="420">
        <v>0.85</v>
      </c>
      <c r="G48" s="421">
        <f t="shared" si="0"/>
        <v>2890</v>
      </c>
      <c r="H48" s="571">
        <f t="shared" si="1"/>
        <v>0.005770235115474919</v>
      </c>
      <c r="I48" s="572">
        <f t="shared" si="2"/>
        <v>0.9248488562418722</v>
      </c>
      <c r="J48" s="573" t="s">
        <v>533</v>
      </c>
    </row>
    <row r="49" spans="1:10" ht="15">
      <c r="A49" s="593" t="s">
        <v>86</v>
      </c>
      <c r="B49" s="419">
        <v>79488</v>
      </c>
      <c r="C49" s="417" t="s">
        <v>269</v>
      </c>
      <c r="D49" s="404" t="s">
        <v>74</v>
      </c>
      <c r="E49" s="415">
        <f>'Memória de cálculos'!D19</f>
        <v>484.43600000000004</v>
      </c>
      <c r="F49" s="420">
        <v>5.95</v>
      </c>
      <c r="G49" s="421">
        <f t="shared" si="0"/>
        <v>2882.3942</v>
      </c>
      <c r="H49" s="571">
        <f t="shared" si="1"/>
        <v>0.005755049214353369</v>
      </c>
      <c r="I49" s="572">
        <f t="shared" si="2"/>
        <v>0.9306039054562255</v>
      </c>
      <c r="J49" s="573" t="s">
        <v>533</v>
      </c>
    </row>
    <row r="50" spans="1:10" ht="15">
      <c r="A50" s="590" t="s">
        <v>296</v>
      </c>
      <c r="B50" s="416">
        <v>72897</v>
      </c>
      <c r="C50" s="417" t="s">
        <v>80</v>
      </c>
      <c r="D50" s="418" t="s">
        <v>74</v>
      </c>
      <c r="E50" s="415">
        <v>170</v>
      </c>
      <c r="F50" s="420">
        <v>15.17</v>
      </c>
      <c r="G50" s="421">
        <f t="shared" si="0"/>
        <v>2578.9</v>
      </c>
      <c r="H50" s="571">
        <f t="shared" si="1"/>
        <v>0.005149086276573796</v>
      </c>
      <c r="I50" s="572">
        <f t="shared" si="2"/>
        <v>0.9357529917327994</v>
      </c>
      <c r="J50" s="573" t="s">
        <v>533</v>
      </c>
    </row>
    <row r="51" spans="1:10" ht="24">
      <c r="A51" s="590" t="s">
        <v>40</v>
      </c>
      <c r="B51" s="409" t="s">
        <v>57</v>
      </c>
      <c r="C51" s="414" t="s">
        <v>58</v>
      </c>
      <c r="D51" s="408" t="s">
        <v>59</v>
      </c>
      <c r="E51" s="415">
        <v>4</v>
      </c>
      <c r="F51" s="420">
        <v>570.31</v>
      </c>
      <c r="G51" s="421">
        <f t="shared" si="0"/>
        <v>2281.24</v>
      </c>
      <c r="H51" s="571">
        <f t="shared" si="1"/>
        <v>0.00455477202589135</v>
      </c>
      <c r="I51" s="572">
        <f t="shared" si="2"/>
        <v>0.9403077637586907</v>
      </c>
      <c r="J51" s="573" t="s">
        <v>533</v>
      </c>
    </row>
    <row r="52" spans="1:10" ht="24">
      <c r="A52" s="590" t="s">
        <v>400</v>
      </c>
      <c r="B52" s="411" t="str">
        <f>'COMPOSIÇÕES IFAL'!A36</f>
        <v>IFAL 5</v>
      </c>
      <c r="C52" s="401" t="s">
        <v>205</v>
      </c>
      <c r="D52" s="404" t="s">
        <v>93</v>
      </c>
      <c r="E52" s="415">
        <v>1</v>
      </c>
      <c r="F52" s="420">
        <f>'COMPOSIÇÕES IFAL'!F43</f>
        <v>2033.5600000000002</v>
      </c>
      <c r="G52" s="421">
        <f t="shared" si="0"/>
        <v>2033.5600000000002</v>
      </c>
      <c r="H52" s="571">
        <f t="shared" si="1"/>
        <v>0.00406024890014712</v>
      </c>
      <c r="I52" s="572">
        <f t="shared" si="2"/>
        <v>0.9443680126588379</v>
      </c>
      <c r="J52" s="573" t="s">
        <v>533</v>
      </c>
    </row>
    <row r="53" spans="1:10" ht="15">
      <c r="A53" s="590" t="s">
        <v>9</v>
      </c>
      <c r="B53" s="409" t="s">
        <v>53</v>
      </c>
      <c r="C53" s="417" t="s">
        <v>54</v>
      </c>
      <c r="D53" s="408" t="s">
        <v>14</v>
      </c>
      <c r="E53" s="415">
        <v>8</v>
      </c>
      <c r="F53" s="420">
        <v>241.67</v>
      </c>
      <c r="G53" s="421">
        <f t="shared" si="0"/>
        <v>1933.36</v>
      </c>
      <c r="H53" s="571">
        <f t="shared" si="1"/>
        <v>0.0038601874611953594</v>
      </c>
      <c r="I53" s="572">
        <f t="shared" si="2"/>
        <v>0.9482282001200332</v>
      </c>
      <c r="J53" s="573" t="s">
        <v>533</v>
      </c>
    </row>
    <row r="54" spans="1:10" ht="15">
      <c r="A54" s="590" t="s">
        <v>208</v>
      </c>
      <c r="B54" s="412" t="s">
        <v>241</v>
      </c>
      <c r="C54" s="413" t="s">
        <v>102</v>
      </c>
      <c r="D54" s="411" t="s">
        <v>93</v>
      </c>
      <c r="E54" s="422">
        <v>117</v>
      </c>
      <c r="F54" s="423">
        <v>14.82</v>
      </c>
      <c r="G54" s="421">
        <f t="shared" si="0"/>
        <v>1733.94</v>
      </c>
      <c r="H54" s="571">
        <f t="shared" si="1"/>
        <v>0.003462021272016118</v>
      </c>
      <c r="I54" s="572">
        <f t="shared" si="2"/>
        <v>0.9516902213920493</v>
      </c>
      <c r="J54" s="573" t="s">
        <v>533</v>
      </c>
    </row>
    <row r="55" spans="1:10" ht="36.75">
      <c r="A55" s="590" t="s">
        <v>186</v>
      </c>
      <c r="B55" s="411" t="s">
        <v>123</v>
      </c>
      <c r="C55" s="407" t="s">
        <v>124</v>
      </c>
      <c r="D55" s="408" t="s">
        <v>125</v>
      </c>
      <c r="E55" s="415">
        <v>59</v>
      </c>
      <c r="F55" s="420">
        <v>28</v>
      </c>
      <c r="G55" s="421">
        <f t="shared" si="0"/>
        <v>1652</v>
      </c>
      <c r="H55" s="571">
        <f t="shared" si="1"/>
        <v>0.0032984181352126527</v>
      </c>
      <c r="I55" s="572">
        <f t="shared" si="2"/>
        <v>0.954988639527262</v>
      </c>
      <c r="J55" s="573" t="s">
        <v>533</v>
      </c>
    </row>
    <row r="56" spans="1:10" ht="15">
      <c r="A56" s="590" t="s">
        <v>399</v>
      </c>
      <c r="B56" s="406" t="s">
        <v>397</v>
      </c>
      <c r="C56" s="424" t="s">
        <v>243</v>
      </c>
      <c r="D56" s="406" t="s">
        <v>93</v>
      </c>
      <c r="E56" s="425">
        <v>534</v>
      </c>
      <c r="F56" s="426">
        <v>2.93</v>
      </c>
      <c r="G56" s="421">
        <f t="shared" si="0"/>
        <v>1564.6200000000001</v>
      </c>
      <c r="H56" s="571">
        <f t="shared" si="1"/>
        <v>0.003123953379368294</v>
      </c>
      <c r="I56" s="572">
        <f t="shared" si="2"/>
        <v>0.9581125929066303</v>
      </c>
      <c r="J56" s="573" t="s">
        <v>533</v>
      </c>
    </row>
    <row r="57" spans="1:10" ht="15">
      <c r="A57" s="590" t="s">
        <v>44</v>
      </c>
      <c r="B57" s="409" t="str">
        <f>'COMPOSIÇÕES IFAL'!A25</f>
        <v>IFAL 4</v>
      </c>
      <c r="C57" s="410" t="s">
        <v>66</v>
      </c>
      <c r="D57" s="408" t="s">
        <v>10</v>
      </c>
      <c r="E57" s="415">
        <v>1</v>
      </c>
      <c r="F57" s="420">
        <f>'COMPOSIÇÕES IFAL'!F34</f>
        <v>1556.58</v>
      </c>
      <c r="G57" s="421">
        <f t="shared" si="0"/>
        <v>1556.58</v>
      </c>
      <c r="H57" s="571">
        <f t="shared" si="1"/>
        <v>0.003107900545344619</v>
      </c>
      <c r="I57" s="572">
        <f t="shared" si="2"/>
        <v>0.9612204934519749</v>
      </c>
      <c r="J57" s="573" t="s">
        <v>533</v>
      </c>
    </row>
    <row r="58" spans="1:10" ht="15">
      <c r="A58" s="590" t="s">
        <v>157</v>
      </c>
      <c r="B58" s="427" t="s">
        <v>365</v>
      </c>
      <c r="C58" s="428" t="s">
        <v>355</v>
      </c>
      <c r="D58" s="429" t="s">
        <v>16</v>
      </c>
      <c r="E58" s="430">
        <v>1</v>
      </c>
      <c r="F58" s="420">
        <f>'COMPOSIÇÕES IFAL'!F204</f>
        <v>1530.4900000000002</v>
      </c>
      <c r="G58" s="421">
        <f t="shared" si="0"/>
        <v>1530.4900000000002</v>
      </c>
      <c r="H58" s="571">
        <f t="shared" si="1"/>
        <v>0.0030558086996135677</v>
      </c>
      <c r="I58" s="572">
        <f t="shared" si="2"/>
        <v>0.9642763021515884</v>
      </c>
      <c r="J58" s="573" t="s">
        <v>533</v>
      </c>
    </row>
    <row r="59" spans="1:10" ht="15">
      <c r="A59" s="593" t="s">
        <v>415</v>
      </c>
      <c r="B59" s="581" t="s">
        <v>137</v>
      </c>
      <c r="C59" s="578" t="s">
        <v>138</v>
      </c>
      <c r="D59" s="582" t="s">
        <v>93</v>
      </c>
      <c r="E59" s="581">
        <v>2</v>
      </c>
      <c r="F59" s="578">
        <v>711.05</v>
      </c>
      <c r="G59" s="421">
        <f t="shared" si="0"/>
        <v>1422.1</v>
      </c>
      <c r="H59" s="571">
        <f t="shared" si="1"/>
        <v>0.002839394933466049</v>
      </c>
      <c r="I59" s="572">
        <f t="shared" si="2"/>
        <v>0.9671156970850545</v>
      </c>
      <c r="J59" s="573" t="s">
        <v>533</v>
      </c>
    </row>
    <row r="60" spans="1:10" ht="36.75">
      <c r="A60" s="590" t="s">
        <v>201</v>
      </c>
      <c r="B60" s="411" t="s">
        <v>145</v>
      </c>
      <c r="C60" s="407" t="s">
        <v>146</v>
      </c>
      <c r="D60" s="408" t="s">
        <v>125</v>
      </c>
      <c r="E60" s="415">
        <v>26</v>
      </c>
      <c r="F60" s="420">
        <v>52.73</v>
      </c>
      <c r="G60" s="421">
        <f t="shared" si="0"/>
        <v>1370.98</v>
      </c>
      <c r="H60" s="571">
        <f t="shared" si="1"/>
        <v>0.0027373276604200016</v>
      </c>
      <c r="I60" s="572">
        <f t="shared" si="2"/>
        <v>0.9698530247454745</v>
      </c>
      <c r="J60" s="573" t="s">
        <v>533</v>
      </c>
    </row>
    <row r="61" spans="1:10" ht="15">
      <c r="A61" s="590" t="s">
        <v>79</v>
      </c>
      <c r="B61" s="419" t="s">
        <v>384</v>
      </c>
      <c r="C61" s="583" t="s">
        <v>383</v>
      </c>
      <c r="D61" s="408" t="s">
        <v>14</v>
      </c>
      <c r="E61" s="415">
        <f>'Memória de cálculos'!D4</f>
        <v>201.39999999999998</v>
      </c>
      <c r="F61" s="420">
        <v>6.78</v>
      </c>
      <c r="G61" s="421">
        <f t="shared" si="0"/>
        <v>1365.492</v>
      </c>
      <c r="H61" s="571">
        <f t="shared" si="1"/>
        <v>0.0027263702035640407</v>
      </c>
      <c r="I61" s="572">
        <f t="shared" si="2"/>
        <v>0.9725793949490386</v>
      </c>
      <c r="J61" s="573" t="s">
        <v>533</v>
      </c>
    </row>
    <row r="62" spans="1:10" ht="24">
      <c r="A62" s="590" t="s">
        <v>117</v>
      </c>
      <c r="B62" s="427" t="s">
        <v>360</v>
      </c>
      <c r="C62" s="428" t="s">
        <v>361</v>
      </c>
      <c r="D62" s="429" t="s">
        <v>10</v>
      </c>
      <c r="E62" s="430">
        <v>1</v>
      </c>
      <c r="F62" s="420">
        <f>'COMPOSIÇÕES IFAL'!F195</f>
        <v>1101.89</v>
      </c>
      <c r="G62" s="421">
        <f t="shared" si="0"/>
        <v>1101.89</v>
      </c>
      <c r="H62" s="571">
        <f t="shared" si="1"/>
        <v>0.0022000568759137228</v>
      </c>
      <c r="I62" s="572">
        <f t="shared" si="2"/>
        <v>0.9747794518249523</v>
      </c>
      <c r="J62" s="573" t="s">
        <v>533</v>
      </c>
    </row>
    <row r="63" spans="1:10" ht="15">
      <c r="A63" s="590" t="s">
        <v>43</v>
      </c>
      <c r="B63" s="409" t="str">
        <f>'COMPOSIÇÕES IFAL'!A15</f>
        <v>IFAL 2</v>
      </c>
      <c r="C63" s="410" t="s">
        <v>63</v>
      </c>
      <c r="D63" s="408" t="s">
        <v>10</v>
      </c>
      <c r="E63" s="415">
        <v>1</v>
      </c>
      <c r="F63" s="420">
        <f>'[1]COMPOSIÇÕES'!F29</f>
        <v>1069.2</v>
      </c>
      <c r="G63" s="421">
        <f t="shared" si="0"/>
        <v>1069.2</v>
      </c>
      <c r="H63" s="571">
        <f t="shared" si="1"/>
        <v>0.0021347873306109977</v>
      </c>
      <c r="I63" s="572">
        <f t="shared" si="2"/>
        <v>0.9769142391555633</v>
      </c>
      <c r="J63" s="573" t="s">
        <v>533</v>
      </c>
    </row>
    <row r="64" spans="1:10" ht="15">
      <c r="A64" s="590" t="s">
        <v>64</v>
      </c>
      <c r="B64" s="409" t="str">
        <f>'COMPOSIÇÕES IFAL'!A20</f>
        <v>IFAL 3</v>
      </c>
      <c r="C64" s="410" t="s">
        <v>65</v>
      </c>
      <c r="D64" s="408" t="s">
        <v>10</v>
      </c>
      <c r="E64" s="415">
        <v>1</v>
      </c>
      <c r="F64" s="420">
        <f>'[1]COMPOSIÇÕES'!F35</f>
        <v>1069.2</v>
      </c>
      <c r="G64" s="421">
        <f t="shared" si="0"/>
        <v>1069.2</v>
      </c>
      <c r="H64" s="571">
        <f t="shared" si="1"/>
        <v>0.0021347873306109977</v>
      </c>
      <c r="I64" s="572">
        <f t="shared" si="2"/>
        <v>0.9790490264861743</v>
      </c>
      <c r="J64" s="573" t="s">
        <v>533</v>
      </c>
    </row>
    <row r="65" spans="1:10" ht="15">
      <c r="A65" s="593" t="s">
        <v>414</v>
      </c>
      <c r="B65" s="581" t="s">
        <v>139</v>
      </c>
      <c r="C65" s="578" t="s">
        <v>140</v>
      </c>
      <c r="D65" s="582" t="s">
        <v>93</v>
      </c>
      <c r="E65" s="581">
        <v>4</v>
      </c>
      <c r="F65" s="578">
        <v>245.23</v>
      </c>
      <c r="G65" s="421">
        <f t="shared" si="0"/>
        <v>980.92</v>
      </c>
      <c r="H65" s="571">
        <f t="shared" si="1"/>
        <v>0.0019585256157341373</v>
      </c>
      <c r="I65" s="572">
        <f t="shared" si="2"/>
        <v>0.9810075521019085</v>
      </c>
      <c r="J65" s="573" t="s">
        <v>533</v>
      </c>
    </row>
    <row r="66" spans="1:10" ht="24">
      <c r="A66" s="590" t="s">
        <v>424</v>
      </c>
      <c r="B66" s="411">
        <v>72947</v>
      </c>
      <c r="C66" s="436" t="s">
        <v>119</v>
      </c>
      <c r="D66" s="408" t="s">
        <v>14</v>
      </c>
      <c r="E66" s="415">
        <v>55.86</v>
      </c>
      <c r="F66" s="420">
        <v>16.57</v>
      </c>
      <c r="G66" s="421">
        <f t="shared" si="0"/>
        <v>925.6002</v>
      </c>
      <c r="H66" s="571">
        <f t="shared" si="1"/>
        <v>0.001848072933193982</v>
      </c>
      <c r="I66" s="572">
        <f t="shared" si="2"/>
        <v>0.9828556250351025</v>
      </c>
      <c r="J66" s="573" t="s">
        <v>533</v>
      </c>
    </row>
    <row r="67" spans="1:10" ht="15">
      <c r="A67" s="590" t="s">
        <v>417</v>
      </c>
      <c r="B67" s="402" t="str">
        <f>'COMPOSIÇÕES IFAL'!A64</f>
        <v>IFAL 8</v>
      </c>
      <c r="C67" s="431" t="s">
        <v>176</v>
      </c>
      <c r="D67" s="437" t="s">
        <v>14</v>
      </c>
      <c r="E67" s="415">
        <f>26+10+((1.05*2.1*2*2)+(0.15*2.1*2))</f>
        <v>45.45</v>
      </c>
      <c r="F67" s="420">
        <f>'COMPOSIÇÕES IFAL'!F73</f>
        <v>19.35</v>
      </c>
      <c r="G67" s="421">
        <f t="shared" si="0"/>
        <v>879.4575000000001</v>
      </c>
      <c r="H67" s="571">
        <f t="shared" si="1"/>
        <v>0.0017559434425840083</v>
      </c>
      <c r="I67" s="572">
        <f t="shared" si="2"/>
        <v>0.9846115684776865</v>
      </c>
      <c r="J67" s="573" t="s">
        <v>533</v>
      </c>
    </row>
    <row r="68" spans="1:10" ht="15">
      <c r="A68" s="590" t="s">
        <v>428</v>
      </c>
      <c r="B68" s="402" t="str">
        <f>'COMPOSIÇÕES IFAL'!A84</f>
        <v>IFAL 10</v>
      </c>
      <c r="C68" s="436" t="s">
        <v>31</v>
      </c>
      <c r="D68" s="408" t="s">
        <v>34</v>
      </c>
      <c r="E68" s="415">
        <v>4</v>
      </c>
      <c r="F68" s="584">
        <f>'COMPOSIÇÕES IFAL'!F95</f>
        <v>185.17000000000002</v>
      </c>
      <c r="G68" s="421">
        <f t="shared" si="0"/>
        <v>740.6800000000001</v>
      </c>
      <c r="H68" s="571">
        <f t="shared" si="1"/>
        <v>0.0014788573513252468</v>
      </c>
      <c r="I68" s="572">
        <f t="shared" si="2"/>
        <v>0.9860904258290117</v>
      </c>
      <c r="J68" s="573" t="s">
        <v>533</v>
      </c>
    </row>
    <row r="69" spans="1:10" ht="15">
      <c r="A69" s="593" t="s">
        <v>409</v>
      </c>
      <c r="B69" s="581" t="s">
        <v>443</v>
      </c>
      <c r="C69" s="585" t="s">
        <v>442</v>
      </c>
      <c r="D69" s="404" t="s">
        <v>93</v>
      </c>
      <c r="E69" s="415">
        <v>1</v>
      </c>
      <c r="F69" s="420">
        <v>701.4</v>
      </c>
      <c r="G69" s="421">
        <f t="shared" si="0"/>
        <v>701.4</v>
      </c>
      <c r="H69" s="571">
        <f t="shared" si="1"/>
        <v>0.001400430072662321</v>
      </c>
      <c r="I69" s="572">
        <f t="shared" si="2"/>
        <v>0.9874908559016741</v>
      </c>
      <c r="J69" s="573" t="s">
        <v>533</v>
      </c>
    </row>
    <row r="70" spans="1:10" ht="15">
      <c r="A70" s="590" t="s">
        <v>420</v>
      </c>
      <c r="B70" s="581" t="s">
        <v>210</v>
      </c>
      <c r="C70" s="431" t="s">
        <v>209</v>
      </c>
      <c r="D70" s="437" t="s">
        <v>14</v>
      </c>
      <c r="E70" s="438">
        <v>21.67</v>
      </c>
      <c r="F70" s="439">
        <v>30.16</v>
      </c>
      <c r="G70" s="421">
        <v>653.45</v>
      </c>
      <c r="H70" s="571">
        <f t="shared" si="1"/>
        <v>0.001304692088652971</v>
      </c>
      <c r="I70" s="572">
        <f t="shared" si="2"/>
        <v>0.9887955479903271</v>
      </c>
      <c r="J70" s="573" t="s">
        <v>533</v>
      </c>
    </row>
    <row r="71" spans="1:10" ht="15">
      <c r="A71" s="593" t="s">
        <v>407</v>
      </c>
      <c r="B71" s="411" t="s">
        <v>109</v>
      </c>
      <c r="C71" s="401" t="s">
        <v>110</v>
      </c>
      <c r="D71" s="404" t="s">
        <v>96</v>
      </c>
      <c r="E71" s="415">
        <v>1</v>
      </c>
      <c r="F71" s="420">
        <v>582.83</v>
      </c>
      <c r="G71" s="421">
        <f t="shared" si="0"/>
        <v>582.83</v>
      </c>
      <c r="H71" s="571">
        <f t="shared" si="1"/>
        <v>0.0011636907032360718</v>
      </c>
      <c r="I71" s="572">
        <f t="shared" si="2"/>
        <v>0.9899592386935632</v>
      </c>
      <c r="J71" s="573" t="s">
        <v>533</v>
      </c>
    </row>
    <row r="72" spans="1:10" ht="15">
      <c r="A72" s="593" t="s">
        <v>410</v>
      </c>
      <c r="B72" s="406" t="s">
        <v>15</v>
      </c>
      <c r="C72" s="424" t="s">
        <v>111</v>
      </c>
      <c r="D72" s="435" t="s">
        <v>93</v>
      </c>
      <c r="E72" s="425">
        <v>2</v>
      </c>
      <c r="F72" s="406">
        <v>222.04</v>
      </c>
      <c r="G72" s="421">
        <f t="shared" si="0"/>
        <v>444.08</v>
      </c>
      <c r="H72" s="571">
        <f t="shared" si="1"/>
        <v>0.0008866595190588589</v>
      </c>
      <c r="I72" s="572">
        <f t="shared" si="2"/>
        <v>0.990845898212622</v>
      </c>
      <c r="J72" s="573" t="s">
        <v>533</v>
      </c>
    </row>
    <row r="73" spans="1:10" ht="15">
      <c r="A73" s="590" t="s">
        <v>276</v>
      </c>
      <c r="B73" s="409" t="s">
        <v>67</v>
      </c>
      <c r="C73" s="407" t="s">
        <v>68</v>
      </c>
      <c r="D73" s="586" t="s">
        <v>10</v>
      </c>
      <c r="E73" s="415">
        <v>2</v>
      </c>
      <c r="F73" s="420">
        <v>178.34</v>
      </c>
      <c r="G73" s="421">
        <f t="shared" si="0"/>
        <v>356.68</v>
      </c>
      <c r="H73" s="571">
        <f t="shared" si="1"/>
        <v>0.0007121548307915551</v>
      </c>
      <c r="I73" s="572">
        <f t="shared" si="2"/>
        <v>0.9915580530434136</v>
      </c>
      <c r="J73" s="573" t="s">
        <v>533</v>
      </c>
    </row>
    <row r="74" spans="1:10" ht="15">
      <c r="A74" s="590" t="s">
        <v>233</v>
      </c>
      <c r="B74" s="427" t="s">
        <v>295</v>
      </c>
      <c r="C74" s="587" t="s">
        <v>294</v>
      </c>
      <c r="D74" s="588" t="s">
        <v>13</v>
      </c>
      <c r="E74" s="415">
        <f>'Memória de cálculos'!D16</f>
        <v>63.400000000000006</v>
      </c>
      <c r="F74" s="420">
        <v>5.32</v>
      </c>
      <c r="G74" s="421">
        <f t="shared" si="0"/>
        <v>337.28800000000007</v>
      </c>
      <c r="H74" s="571">
        <f t="shared" si="1"/>
        <v>0.0006734363535046038</v>
      </c>
      <c r="I74" s="572">
        <f t="shared" si="2"/>
        <v>0.9922314893969182</v>
      </c>
      <c r="J74" s="573" t="s">
        <v>533</v>
      </c>
    </row>
    <row r="75" spans="1:10" ht="15">
      <c r="A75" s="590" t="s">
        <v>89</v>
      </c>
      <c r="B75" s="419" t="s">
        <v>367</v>
      </c>
      <c r="C75" s="433" t="s">
        <v>357</v>
      </c>
      <c r="D75" s="589" t="s">
        <v>338</v>
      </c>
      <c r="E75" s="415">
        <f>'Memória de cálculos'!D22</f>
        <v>1.076</v>
      </c>
      <c r="F75" s="420">
        <v>312.74</v>
      </c>
      <c r="G75" s="421">
        <f t="shared" si="0"/>
        <v>336.50824000000006</v>
      </c>
      <c r="H75" s="571">
        <f t="shared" si="1"/>
        <v>0.000671879468198845</v>
      </c>
      <c r="I75" s="572">
        <f t="shared" si="2"/>
        <v>0.992903368865117</v>
      </c>
      <c r="J75" s="573" t="s">
        <v>533</v>
      </c>
    </row>
    <row r="76" spans="1:10" ht="24">
      <c r="A76" s="590" t="s">
        <v>418</v>
      </c>
      <c r="B76" s="438" t="s">
        <v>180</v>
      </c>
      <c r="C76" s="431" t="s">
        <v>181</v>
      </c>
      <c r="D76" s="437" t="s">
        <v>14</v>
      </c>
      <c r="E76" s="438">
        <v>36</v>
      </c>
      <c r="F76" s="439">
        <v>9.29</v>
      </c>
      <c r="G76" s="421">
        <f t="shared" si="0"/>
        <v>334.43999999999994</v>
      </c>
      <c r="H76" s="571">
        <f t="shared" si="1"/>
        <v>0.000667749976477312</v>
      </c>
      <c r="I76" s="572">
        <f t="shared" si="2"/>
        <v>0.9935711188415943</v>
      </c>
      <c r="J76" s="573" t="s">
        <v>533</v>
      </c>
    </row>
    <row r="77" spans="1:10" ht="15">
      <c r="A77" s="590" t="s">
        <v>75</v>
      </c>
      <c r="B77" s="419">
        <v>72238</v>
      </c>
      <c r="C77" s="417" t="s">
        <v>76</v>
      </c>
      <c r="D77" s="408" t="s">
        <v>14</v>
      </c>
      <c r="E77" s="415">
        <v>68</v>
      </c>
      <c r="F77" s="420">
        <v>4.69</v>
      </c>
      <c r="G77" s="421">
        <f t="shared" si="0"/>
        <v>318.92</v>
      </c>
      <c r="H77" s="571">
        <f t="shared" si="1"/>
        <v>0.0006367624162724087</v>
      </c>
      <c r="I77" s="572">
        <f t="shared" si="2"/>
        <v>0.9942078812578667</v>
      </c>
      <c r="J77" s="573" t="s">
        <v>533</v>
      </c>
    </row>
    <row r="78" spans="1:10" ht="15">
      <c r="A78" s="590" t="s">
        <v>231</v>
      </c>
      <c r="B78" s="419">
        <v>72236</v>
      </c>
      <c r="C78" s="417" t="s">
        <v>77</v>
      </c>
      <c r="D78" s="408" t="s">
        <v>14</v>
      </c>
      <c r="E78" s="415">
        <v>35</v>
      </c>
      <c r="F78" s="420">
        <v>7.86</v>
      </c>
      <c r="G78" s="421">
        <f t="shared" si="0"/>
        <v>275.1</v>
      </c>
      <c r="H78" s="571">
        <f t="shared" si="1"/>
        <v>0.0005492704776010901</v>
      </c>
      <c r="I78" s="572">
        <f t="shared" si="2"/>
        <v>0.9947571517354679</v>
      </c>
      <c r="J78" s="573" t="s">
        <v>533</v>
      </c>
    </row>
    <row r="79" spans="1:10" ht="15">
      <c r="A79" s="590" t="s">
        <v>431</v>
      </c>
      <c r="B79" s="411">
        <v>9537</v>
      </c>
      <c r="C79" s="401" t="s">
        <v>202</v>
      </c>
      <c r="D79" s="404" t="s">
        <v>14</v>
      </c>
      <c r="E79" s="415">
        <v>161</v>
      </c>
      <c r="F79" s="420">
        <v>1.61</v>
      </c>
      <c r="G79" s="421">
        <f t="shared" si="0"/>
        <v>259.21000000000004</v>
      </c>
      <c r="H79" s="571">
        <f t="shared" si="1"/>
        <v>0.0005175441675717142</v>
      </c>
      <c r="I79" s="572">
        <f t="shared" si="2"/>
        <v>0.9952746959030395</v>
      </c>
      <c r="J79" s="573" t="s">
        <v>533</v>
      </c>
    </row>
    <row r="80" spans="1:10" ht="15">
      <c r="A80" s="590" t="s">
        <v>232</v>
      </c>
      <c r="B80" s="419">
        <v>85372</v>
      </c>
      <c r="C80" s="417" t="s">
        <v>78</v>
      </c>
      <c r="D80" s="408" t="s">
        <v>14</v>
      </c>
      <c r="E80" s="415">
        <v>153</v>
      </c>
      <c r="F80" s="420">
        <v>1.58</v>
      </c>
      <c r="G80" s="421">
        <f aca="true" t="shared" si="3" ref="G80:G95">E80*F80</f>
        <v>241.74</v>
      </c>
      <c r="H80" s="571">
        <f t="shared" si="1"/>
        <v>0.0004826631961297256</v>
      </c>
      <c r="I80" s="572">
        <f t="shared" si="2"/>
        <v>0.9957573590991693</v>
      </c>
      <c r="J80" s="573" t="s">
        <v>533</v>
      </c>
    </row>
    <row r="81" spans="1:10" ht="24">
      <c r="A81" s="590" t="s">
        <v>42</v>
      </c>
      <c r="B81" s="418">
        <v>72840</v>
      </c>
      <c r="C81" s="414" t="s">
        <v>449</v>
      </c>
      <c r="D81" s="408" t="s">
        <v>62</v>
      </c>
      <c r="E81" s="415">
        <v>540</v>
      </c>
      <c r="F81" s="420">
        <v>0.44</v>
      </c>
      <c r="G81" s="421">
        <f t="shared" si="3"/>
        <v>237.6</v>
      </c>
      <c r="H81" s="571">
        <f aca="true" t="shared" si="4" ref="H81:H95">G81/$G$96</f>
        <v>0.0004743971845802217</v>
      </c>
      <c r="I81" s="572">
        <f t="shared" si="2"/>
        <v>0.9962317562837495</v>
      </c>
      <c r="J81" s="573" t="s">
        <v>533</v>
      </c>
    </row>
    <row r="82" spans="1:10" ht="24">
      <c r="A82" s="590" t="s">
        <v>240</v>
      </c>
      <c r="B82" s="409" t="s">
        <v>87</v>
      </c>
      <c r="C82" s="417" t="s">
        <v>127</v>
      </c>
      <c r="D82" s="408" t="s">
        <v>14</v>
      </c>
      <c r="E82" s="415">
        <f>'Memória de cálculos'!D50</f>
        <v>6.5</v>
      </c>
      <c r="F82" s="420">
        <v>31.9</v>
      </c>
      <c r="G82" s="421">
        <f t="shared" si="3"/>
        <v>207.35</v>
      </c>
      <c r="H82" s="571">
        <f t="shared" si="4"/>
        <v>0.00041399939487672124</v>
      </c>
      <c r="I82" s="572">
        <f aca="true" t="shared" si="5" ref="I82:I95">H82+I81</f>
        <v>0.9966457556786262</v>
      </c>
      <c r="J82" s="573" t="s">
        <v>533</v>
      </c>
    </row>
    <row r="83" spans="1:10" ht="22.5">
      <c r="A83" s="590" t="s">
        <v>101</v>
      </c>
      <c r="B83" s="432">
        <v>87504</v>
      </c>
      <c r="C83" s="433" t="s">
        <v>392</v>
      </c>
      <c r="D83" s="434" t="s">
        <v>14</v>
      </c>
      <c r="E83" s="415">
        <f>'Memória de cálculos'!D55</f>
        <v>4.41</v>
      </c>
      <c r="F83" s="420">
        <v>41.18</v>
      </c>
      <c r="G83" s="421">
        <f t="shared" si="3"/>
        <v>181.6038</v>
      </c>
      <c r="H83" s="571">
        <f t="shared" si="4"/>
        <v>0.0003625939874960845</v>
      </c>
      <c r="I83" s="572">
        <f t="shared" si="5"/>
        <v>0.9970083496661223</v>
      </c>
      <c r="J83" s="573" t="s">
        <v>533</v>
      </c>
    </row>
    <row r="84" spans="1:10" ht="15">
      <c r="A84" s="593" t="s">
        <v>412</v>
      </c>
      <c r="B84" s="406" t="str">
        <f>'COMPOSIÇÕES IFAL'!A125</f>
        <v>IFAL 13</v>
      </c>
      <c r="C84" s="424" t="s">
        <v>256</v>
      </c>
      <c r="D84" s="435" t="s">
        <v>93</v>
      </c>
      <c r="E84" s="425">
        <v>1</v>
      </c>
      <c r="F84" s="406">
        <v>180.23</v>
      </c>
      <c r="G84" s="421">
        <f t="shared" si="3"/>
        <v>180.23</v>
      </c>
      <c r="H84" s="571">
        <f t="shared" si="4"/>
        <v>0.0003598510293640293</v>
      </c>
      <c r="I84" s="572">
        <f t="shared" si="5"/>
        <v>0.9973682006954863</v>
      </c>
      <c r="J84" s="573" t="s">
        <v>533</v>
      </c>
    </row>
    <row r="85" spans="1:10" ht="24">
      <c r="A85" s="590" t="s">
        <v>426</v>
      </c>
      <c r="B85" s="411">
        <v>72947</v>
      </c>
      <c r="C85" s="436" t="s">
        <v>120</v>
      </c>
      <c r="D85" s="408" t="s">
        <v>14</v>
      </c>
      <c r="E85" s="415">
        <v>10.26</v>
      </c>
      <c r="F85" s="420">
        <v>16.57</v>
      </c>
      <c r="G85" s="421">
        <f t="shared" si="3"/>
        <v>170.0082</v>
      </c>
      <c r="H85" s="571">
        <f t="shared" si="4"/>
        <v>0.00033944196732134364</v>
      </c>
      <c r="I85" s="572">
        <f t="shared" si="5"/>
        <v>0.9977076426628076</v>
      </c>
      <c r="J85" s="573" t="s">
        <v>533</v>
      </c>
    </row>
    <row r="86" spans="1:10" ht="24">
      <c r="A86" s="590" t="s">
        <v>429</v>
      </c>
      <c r="B86" s="429" t="s">
        <v>388</v>
      </c>
      <c r="C86" s="583" t="s">
        <v>385</v>
      </c>
      <c r="D86" s="437" t="s">
        <v>14</v>
      </c>
      <c r="E86" s="415">
        <f>'Memória de cálculos'!D60</f>
        <v>4.050000000000001</v>
      </c>
      <c r="F86" s="584">
        <v>38.22</v>
      </c>
      <c r="G86" s="421">
        <f t="shared" si="3"/>
        <v>154.79100000000003</v>
      </c>
      <c r="H86" s="571">
        <f t="shared" si="4"/>
        <v>0.0003090589839998195</v>
      </c>
      <c r="I86" s="572">
        <f t="shared" si="5"/>
        <v>0.9980167016468074</v>
      </c>
      <c r="J86" s="573" t="s">
        <v>533</v>
      </c>
    </row>
    <row r="87" spans="1:10" ht="22.5">
      <c r="A87" s="590" t="s">
        <v>98</v>
      </c>
      <c r="B87" s="432">
        <v>73361</v>
      </c>
      <c r="C87" s="433" t="s">
        <v>391</v>
      </c>
      <c r="D87" s="434" t="s">
        <v>74</v>
      </c>
      <c r="E87" s="415">
        <f>'Memória de cálculos'!D53</f>
        <v>0.48</v>
      </c>
      <c r="F87" s="420">
        <v>322.22</v>
      </c>
      <c r="G87" s="421">
        <f t="shared" si="3"/>
        <v>154.6656</v>
      </c>
      <c r="H87" s="571">
        <f t="shared" si="4"/>
        <v>0.0003088086077079577</v>
      </c>
      <c r="I87" s="572">
        <f t="shared" si="5"/>
        <v>0.9983255102545154</v>
      </c>
      <c r="J87" s="573" t="s">
        <v>533</v>
      </c>
    </row>
    <row r="88" spans="1:10" ht="24">
      <c r="A88" s="590" t="s">
        <v>430</v>
      </c>
      <c r="B88" s="437" t="s">
        <v>386</v>
      </c>
      <c r="C88" s="583" t="s">
        <v>387</v>
      </c>
      <c r="D88" s="437" t="s">
        <v>14</v>
      </c>
      <c r="E88" s="415">
        <f>'Memória de cálculos'!D62</f>
        <v>4.050000000000001</v>
      </c>
      <c r="F88" s="584">
        <v>34.35</v>
      </c>
      <c r="G88" s="421">
        <f t="shared" si="3"/>
        <v>139.11750000000004</v>
      </c>
      <c r="H88" s="571">
        <f t="shared" si="4"/>
        <v>0.0002777649424488174</v>
      </c>
      <c r="I88" s="572">
        <f t="shared" si="5"/>
        <v>0.9986032751969642</v>
      </c>
      <c r="J88" s="573" t="s">
        <v>533</v>
      </c>
    </row>
    <row r="89" spans="1:10" ht="15">
      <c r="A89" s="593" t="s">
        <v>413</v>
      </c>
      <c r="B89" s="581">
        <v>85120</v>
      </c>
      <c r="C89" s="578" t="s">
        <v>136</v>
      </c>
      <c r="D89" s="582" t="s">
        <v>93</v>
      </c>
      <c r="E89" s="581">
        <v>2</v>
      </c>
      <c r="F89" s="578">
        <v>65.41</v>
      </c>
      <c r="G89" s="421">
        <f t="shared" si="3"/>
        <v>130.82</v>
      </c>
      <c r="H89" s="571">
        <f t="shared" si="4"/>
        <v>0.0002611979784797332</v>
      </c>
      <c r="I89" s="572">
        <f t="shared" si="5"/>
        <v>0.998864473175444</v>
      </c>
      <c r="J89" s="573" t="s">
        <v>533</v>
      </c>
    </row>
    <row r="90" spans="1:10" ht="24">
      <c r="A90" s="590" t="s">
        <v>421</v>
      </c>
      <c r="B90" s="581">
        <v>88431</v>
      </c>
      <c r="C90" s="583" t="s">
        <v>394</v>
      </c>
      <c r="D90" s="437" t="s">
        <v>14</v>
      </c>
      <c r="E90" s="438">
        <f>((1.05*2.1*2*2)+(0.15*2.1*2))</f>
        <v>9.450000000000001</v>
      </c>
      <c r="F90" s="439">
        <v>13.63</v>
      </c>
      <c r="G90" s="421">
        <f t="shared" si="3"/>
        <v>128.8035</v>
      </c>
      <c r="H90" s="571">
        <f t="shared" si="4"/>
        <v>0.00025717179193635774</v>
      </c>
      <c r="I90" s="572">
        <f t="shared" si="5"/>
        <v>0.9991216449673804</v>
      </c>
      <c r="J90" s="573" t="s">
        <v>533</v>
      </c>
    </row>
    <row r="91" spans="1:10" ht="15">
      <c r="A91" s="593" t="s">
        <v>416</v>
      </c>
      <c r="B91" s="402">
        <v>72286</v>
      </c>
      <c r="C91" s="436" t="s">
        <v>114</v>
      </c>
      <c r="D91" s="408" t="s">
        <v>93</v>
      </c>
      <c r="E91" s="415">
        <v>1</v>
      </c>
      <c r="F91" s="420">
        <v>118.93</v>
      </c>
      <c r="G91" s="421">
        <f t="shared" si="3"/>
        <v>118.93</v>
      </c>
      <c r="H91" s="571">
        <f t="shared" si="4"/>
        <v>0.00023745815303924988</v>
      </c>
      <c r="I91" s="572">
        <f t="shared" si="5"/>
        <v>0.9993591031204196</v>
      </c>
      <c r="J91" s="573" t="s">
        <v>533</v>
      </c>
    </row>
    <row r="92" spans="1:10" ht="24">
      <c r="A92" s="590" t="s">
        <v>419</v>
      </c>
      <c r="B92" s="430" t="s">
        <v>211</v>
      </c>
      <c r="C92" s="431" t="s">
        <v>213</v>
      </c>
      <c r="D92" s="437" t="s">
        <v>14</v>
      </c>
      <c r="E92" s="438">
        <v>13.5</v>
      </c>
      <c r="F92" s="439">
        <v>7.81</v>
      </c>
      <c r="G92" s="421">
        <f t="shared" si="3"/>
        <v>105.43499999999999</v>
      </c>
      <c r="H92" s="571">
        <f t="shared" si="4"/>
        <v>0.00021051375065747336</v>
      </c>
      <c r="I92" s="572">
        <f t="shared" si="5"/>
        <v>0.9995696168710771</v>
      </c>
      <c r="J92" s="573" t="s">
        <v>533</v>
      </c>
    </row>
    <row r="93" spans="1:10" ht="24">
      <c r="A93" s="593" t="s">
        <v>404</v>
      </c>
      <c r="B93" s="411" t="s">
        <v>29</v>
      </c>
      <c r="C93" s="401" t="s">
        <v>129</v>
      </c>
      <c r="D93" s="404" t="s">
        <v>14</v>
      </c>
      <c r="E93" s="415">
        <v>7.35</v>
      </c>
      <c r="F93" s="420">
        <v>12.73</v>
      </c>
      <c r="G93" s="421">
        <f t="shared" si="3"/>
        <v>93.5655</v>
      </c>
      <c r="H93" s="571">
        <f t="shared" si="4"/>
        <v>0.00018681485595050813</v>
      </c>
      <c r="I93" s="572">
        <f t="shared" si="5"/>
        <v>0.9997564317270277</v>
      </c>
      <c r="J93" s="573" t="s">
        <v>533</v>
      </c>
    </row>
    <row r="94" spans="1:10" ht="15">
      <c r="A94" s="590" t="s">
        <v>94</v>
      </c>
      <c r="B94" s="409" t="s">
        <v>437</v>
      </c>
      <c r="C94" s="440" t="s">
        <v>436</v>
      </c>
      <c r="D94" s="408" t="s">
        <v>14</v>
      </c>
      <c r="E94" s="415">
        <f>'Memória de cálculos'!D39</f>
        <v>4</v>
      </c>
      <c r="F94" s="420">
        <v>17.62</v>
      </c>
      <c r="G94" s="421">
        <f t="shared" si="3"/>
        <v>70.48</v>
      </c>
      <c r="H94" s="571">
        <f t="shared" si="4"/>
        <v>0.000140721858456288</v>
      </c>
      <c r="I94" s="572">
        <f t="shared" si="5"/>
        <v>0.9998971535854839</v>
      </c>
      <c r="J94" s="573" t="s">
        <v>533</v>
      </c>
    </row>
    <row r="95" spans="1:10" ht="15">
      <c r="A95" s="593" t="s">
        <v>411</v>
      </c>
      <c r="B95" s="406" t="str">
        <f>'COMPOSIÇÕES IFAL'!A136</f>
        <v>IFAL 14</v>
      </c>
      <c r="C95" s="424" t="s">
        <v>112</v>
      </c>
      <c r="D95" s="435" t="s">
        <v>93</v>
      </c>
      <c r="E95" s="425">
        <v>1</v>
      </c>
      <c r="F95" s="425">
        <f>'COMPOSIÇÕES IFAL'!F145</f>
        <v>51.51023</v>
      </c>
      <c r="G95" s="421">
        <f t="shared" si="3"/>
        <v>51.51023</v>
      </c>
      <c r="H95" s="571">
        <f t="shared" si="4"/>
        <v>0.0001028464145163286</v>
      </c>
      <c r="I95" s="572">
        <f t="shared" si="5"/>
        <v>1.0000000000000002</v>
      </c>
      <c r="J95" s="573" t="s">
        <v>533</v>
      </c>
    </row>
    <row r="96" ht="15">
      <c r="G96" s="127">
        <f>SUM(G16:G95)</f>
        <v>500846.14269</v>
      </c>
    </row>
    <row r="100" ht="15">
      <c r="G100" s="127"/>
    </row>
  </sheetData>
  <sheetProtection selectLockedCells="1" selectUnlockedCells="1"/>
  <mergeCells count="15">
    <mergeCell ref="A13:J13"/>
    <mergeCell ref="A14:A15"/>
    <mergeCell ref="B14:B15"/>
    <mergeCell ref="C14:C15"/>
    <mergeCell ref="D14:D15"/>
    <mergeCell ref="E14:E15"/>
    <mergeCell ref="F14:G14"/>
    <mergeCell ref="I14:I15"/>
    <mergeCell ref="J14:J15"/>
    <mergeCell ref="A7:J7"/>
    <mergeCell ref="A8:J8"/>
    <mergeCell ref="A9:J9"/>
    <mergeCell ref="A10:J10"/>
    <mergeCell ref="A11:J11"/>
    <mergeCell ref="A12:J12"/>
  </mergeCells>
  <hyperlinks>
    <hyperlink ref="C94" r:id="rId1" display="http://187.17.2.135/orse/composicao.asp?font_sg_fonte=ORSE&amp;serv_nr_codigo=2172&amp;peri_nr_ano=2015&amp;peri_nr_mes=11&amp;peri_nr_ordem=1"/>
  </hyperlinks>
  <printOptions horizontalCentered="1" verticalCentered="1"/>
  <pageMargins left="0.9840277777777777" right="0.39375" top="0.9840277777777777" bottom="0.5902777777777778" header="0.5118055555555555" footer="0.5118055555555555"/>
  <pageSetup fitToHeight="0" fitToWidth="1" horizontalDpi="600" verticalDpi="600" orientation="portrait" paperSize="9" scale="61" r:id="rId3"/>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Alexandre</dc:creator>
  <cp:keywords/>
  <dc:description/>
  <cp:lastModifiedBy>IFAL</cp:lastModifiedBy>
  <cp:lastPrinted>2016-05-23T17:51:04Z</cp:lastPrinted>
  <dcterms:created xsi:type="dcterms:W3CDTF">2014-09-20T17:25:25Z</dcterms:created>
  <dcterms:modified xsi:type="dcterms:W3CDTF">2016-05-23T18:10:26Z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